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Inventario" sheetId="2" state="visible" r:id="rId2"/>
    <sheet xmlns:r="http://schemas.openxmlformats.org/officeDocument/2006/relationships" name="Sesiones" sheetId="3" state="visible" r:id="rId3"/>
    <sheet xmlns:r="http://schemas.openxmlformats.org/officeDocument/2006/relationships" name="Control" sheetId="4" state="visible" r:id="rId4"/>
    <sheet xmlns:r="http://schemas.openxmlformats.org/officeDocument/2006/relationships" name="Instrucciones" sheetId="5" state="visible" r:id="rId5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0&quot;%&quot;"/>
    <numFmt numFmtId="165" formatCode="dd/mm/yyyy"/>
    <numFmt numFmtId="166" formatCode="0.0"/>
  </numFmts>
  <fonts count="8">
    <font>
      <name val="Calibri"/>
      <family val="2"/>
      <color theme="1"/>
      <sz val="11"/>
      <scheme val="minor"/>
    </font>
    <font>
      <name val="Aptos Display"/>
      <b val="1"/>
      <color rgb="00FFFFFF"/>
      <sz val="10"/>
    </font>
    <font>
      <name val="Aptos"/>
      <color rgb="00302D3D"/>
      <sz val="10"/>
    </font>
    <font>
      <name val="Aptos Display"/>
      <b val="1"/>
      <color rgb="00FFFFFF"/>
      <sz val="18"/>
    </font>
    <font>
      <name val="Aptos Display"/>
      <b val="1"/>
      <color rgb="00FFFFFF"/>
      <sz val="11"/>
    </font>
    <font>
      <name val="Aptos"/>
      <b val="1"/>
      <color rgb="00302D3D"/>
      <sz val="10"/>
    </font>
    <font>
      <name val="Aptos"/>
      <b val="1"/>
      <color rgb="00FFFFFF"/>
      <sz val="10"/>
    </font>
    <font>
      <name val="Aptos Display"/>
      <b val="1"/>
      <color rgb="00302D3D"/>
      <sz val="14"/>
    </font>
  </fonts>
  <fills count="13">
    <fill>
      <patternFill/>
    </fill>
    <fill>
      <patternFill patternType="gray125"/>
    </fill>
    <fill>
      <patternFill patternType="solid">
        <fgColor rgb="0026233F"/>
      </patternFill>
    </fill>
    <fill>
      <patternFill patternType="solid">
        <fgColor rgb="00FFF0C7"/>
      </patternFill>
    </fill>
    <fill>
      <patternFill patternType="solid">
        <fgColor rgb="00ECEAF0"/>
      </patternFill>
    </fill>
    <fill>
      <patternFill patternType="solid">
        <fgColor rgb="00E05A47"/>
      </patternFill>
    </fill>
    <fill>
      <patternFill patternType="solid">
        <fgColor rgb="00D9EAD3"/>
      </patternFill>
    </fill>
    <fill>
      <patternFill patternType="solid">
        <fgColor rgb="00FFF2B2"/>
      </patternFill>
    </fill>
    <fill>
      <patternFill patternType="solid">
        <fgColor rgb="00F4CCCC"/>
      </patternFill>
    </fill>
    <fill>
      <patternFill patternType="solid">
        <fgColor rgb="00D9EAF7"/>
      </patternFill>
    </fill>
    <fill>
      <patternFill patternType="solid">
        <fgColor rgb="00E7E6E6"/>
      </patternFill>
    </fill>
    <fill>
      <patternFill patternType="solid">
        <fgColor rgb="00F7F2FA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DDD3E8"/>
      </left>
      <right style="thin">
        <color rgb="00DDD3E8"/>
      </right>
      <top style="thin">
        <color rgb="00DDD3E8"/>
      </top>
      <bottom style="thin">
        <color rgb="00DDD3E8"/>
      </bottom>
    </border>
    <border>
      <left/>
      <right/>
      <top style="thin">
        <color rgb="00DDD3E8"/>
      </top>
      <bottom/>
      <diagonal/>
    </border>
    <border>
      <left/>
      <right style="thin">
        <color rgb="00DDD3E8"/>
      </right>
      <top style="thin">
        <color rgb="00DDD3E8"/>
      </top>
      <bottom/>
      <diagonal/>
    </border>
    <border>
      <left/>
      <right style="thin">
        <color rgb="00DDD3E8"/>
      </right>
      <top style="thin">
        <color rgb="00DDD3E8"/>
      </top>
      <bottom style="thin">
        <color rgb="00DDD3E8"/>
      </bottom>
      <diagonal/>
    </border>
    <border>
      <left/>
      <right/>
      <top style="thin">
        <color rgb="00DDD3E8"/>
      </top>
      <bottom style="thin">
        <color rgb="00DDD3E8"/>
      </bottom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6" fillId="5" borderId="1" pivotButton="0" quotePrefix="0" xfId="0"/>
    <xf numFmtId="0" fontId="0" fillId="3" borderId="1" applyAlignment="1" applyProtection="1" pivotButton="0" quotePrefix="0" xfId="0">
      <alignment horizontal="center" vertical="center"/>
      <protection locked="0" hidden="0"/>
    </xf>
    <xf numFmtId="0" fontId="1" fillId="5" borderId="1" pivotButton="0" quotePrefix="0" xfId="0"/>
    <xf numFmtId="164" fontId="0" fillId="3" borderId="1" applyAlignment="1" applyProtection="1" pivotButton="0" quotePrefix="0" xfId="0">
      <alignment horizontal="center" vertical="center"/>
      <protection locked="0" hidden="0"/>
    </xf>
    <xf numFmtId="0" fontId="2" fillId="4" borderId="1" pivotButton="0" quotePrefix="0" xfId="0"/>
    <xf numFmtId="165" fontId="0" fillId="4" borderId="1" applyAlignment="1" pivotButton="0" quotePrefix="0" xfId="0">
      <alignment horizontal="center" vertical="center"/>
    </xf>
    <xf numFmtId="0" fontId="1" fillId="2" borderId="1" pivotButton="0" quotePrefix="0" xfId="0"/>
    <xf numFmtId="0" fontId="5" fillId="11" borderId="1" pivotButton="0" quotePrefix="0" xfId="0"/>
    <xf numFmtId="0" fontId="0" fillId="4" borderId="1" applyAlignment="1" pivotButton="0" quotePrefix="0" xfId="0">
      <alignment horizontal="left" vertical="center" wrapText="1"/>
    </xf>
    <xf numFmtId="0" fontId="0" fillId="0" borderId="1" pivotButton="0" quotePrefix="0" xfId="0"/>
    <xf numFmtId="165" fontId="0" fillId="4" borderId="1" applyAlignment="1" pivotButton="0" quotePrefix="0" xfId="0">
      <alignment horizontal="left" vertical="center" wrapText="1"/>
    </xf>
    <xf numFmtId="0" fontId="5" fillId="12" borderId="1" pivotButton="0" quotePrefix="0" xfId="0"/>
    <xf numFmtId="0" fontId="7" fillId="12" borderId="1" applyAlignment="1" pivotButton="0" quotePrefix="0" xfId="0">
      <alignment horizontal="center" vertical="center"/>
    </xf>
    <xf numFmtId="0" fontId="0" fillId="12" borderId="1" applyAlignment="1" pivotButton="0" quotePrefix="0" xfId="0">
      <alignment horizontal="left" vertical="center" wrapText="1"/>
    </xf>
    <xf numFmtId="0" fontId="7" fillId="11" borderId="1" applyAlignment="1" pivotButton="0" quotePrefix="0" xfId="0">
      <alignment horizontal="center" vertical="center"/>
    </xf>
    <xf numFmtId="0" fontId="0" fillId="11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2" fillId="3" borderId="1" applyAlignment="1" applyProtection="1" pivotButton="0" quotePrefix="0" xfId="0">
      <alignment horizontal="left" vertical="center"/>
      <protection locked="0" hidden="0"/>
    </xf>
    <xf numFmtId="166" fontId="2" fillId="3" borderId="1" applyAlignment="1" applyProtection="1" pivotButton="0" quotePrefix="0" xfId="0">
      <alignment horizontal="left" vertical="center"/>
      <protection locked="0" hidden="0"/>
    </xf>
    <xf numFmtId="165" fontId="2" fillId="3" borderId="1" applyAlignment="1" applyProtection="1" pivotButton="0" quotePrefix="0" xfId="0">
      <alignment horizontal="left" vertical="center"/>
      <protection locked="0" hidden="0"/>
    </xf>
    <xf numFmtId="0" fontId="2" fillId="4" borderId="1" applyAlignment="1" pivotButton="0" quotePrefix="0" xfId="0">
      <alignment horizontal="left" vertical="center"/>
    </xf>
    <xf numFmtId="9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 wrapText="1"/>
    </xf>
    <xf numFmtId="0" fontId="2" fillId="3" borderId="1" applyAlignment="1" applyProtection="1" pivotButton="0" quotePrefix="0" xfId="0">
      <alignment horizontal="left" vertical="center" wrapText="1"/>
      <protection locked="0" hidden="0"/>
    </xf>
    <xf numFmtId="166" fontId="2" fillId="4" borderId="1" applyAlignment="1" pivotButton="0" quotePrefix="0" xfId="0">
      <alignment horizontal="left" vertical="center"/>
    </xf>
    <xf numFmtId="0" fontId="1" fillId="2" borderId="0" applyAlignment="1" pivotButton="0" quotePrefix="0" xfId="0">
      <alignment horizontal="center" vertical="center"/>
    </xf>
    <xf numFmtId="0" fontId="4" fillId="5" borderId="1" pivotButton="0" quotePrefix="0" xfId="0"/>
    <xf numFmtId="0" fontId="0" fillId="5" borderId="1" pivotButton="0" quotePrefix="0" xfId="0"/>
    <xf numFmtId="0" fontId="1" fillId="5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0" fillId="0" borderId="1" applyAlignment="1" pivotButton="0" quotePrefix="0" xfId="0">
      <alignment horizontal="center" vertical="center"/>
    </xf>
    <xf numFmtId="0" fontId="4" fillId="5" borderId="0" pivotButton="0" quotePrefix="0" xfId="0"/>
    <xf numFmtId="0" fontId="5" fillId="6" borderId="1" pivotButton="0" quotePrefix="0" xfId="0"/>
    <xf numFmtId="0" fontId="5" fillId="7" borderId="1" pivotButton="0" quotePrefix="0" xfId="0"/>
    <xf numFmtId="0" fontId="5" fillId="8" borderId="1" pivotButton="0" quotePrefix="0" xfId="0"/>
    <xf numFmtId="0" fontId="5" fillId="9" borderId="1" pivotButton="0" quotePrefix="0" xfId="0"/>
    <xf numFmtId="0" fontId="5" fillId="10" borderId="1" pivotButton="0" quotePrefix="0" xfId="0"/>
    <xf numFmtId="0" fontId="5" fillId="0" borderId="1" pivotButton="0" quotePrefix="0" xfId="0"/>
    <xf numFmtId="0" fontId="0" fillId="0" borderId="5" pivotButton="0" quotePrefix="0" xfId="0"/>
    <xf numFmtId="0" fontId="0" fillId="0" borderId="4" pivotButton="0" quotePrefix="0" xfId="0"/>
    <xf numFmtId="164" fontId="0" fillId="3" borderId="1" applyAlignment="1" applyProtection="1" pivotButton="0" quotePrefix="0" xfId="0">
      <alignment horizontal="center" vertical="center"/>
      <protection locked="0" hidden="0"/>
    </xf>
  </cellXfs>
  <cellStyles count="1">
    <cellStyle name="Normal" xfId="0" builtinId="0" hidden="0"/>
  </cellStyles>
  <dxfs count="8">
    <dxf>
      <font>
        <name val="Aptos"/>
        <b val="1"/>
        <color rgb="000B5D53"/>
        <sz val="10"/>
      </font>
      <fill>
        <patternFill patternType="solid">
          <fgColor rgb="00D9EAD3"/>
        </patternFill>
      </fill>
    </dxf>
    <dxf>
      <font>
        <name val="Aptos"/>
        <b val="1"/>
        <color rgb="008F2430"/>
        <sz val="10"/>
      </font>
      <fill>
        <patternFill patternType="solid">
          <fgColor rgb="00F4CCCC"/>
        </patternFill>
      </fill>
    </dxf>
    <dxf>
      <fill>
        <patternFill patternType="solid">
          <fgColor rgb="00FFF2B2"/>
        </patternFill>
      </fill>
    </dxf>
    <dxf>
      <fill>
        <patternFill patternType="solid">
          <fgColor rgb="00D9EAD3"/>
        </patternFill>
      </fill>
    </dxf>
    <dxf>
      <fill>
        <patternFill patternType="solid">
          <fgColor rgb="00F4CCCC"/>
        </patternFill>
      </fill>
    </dxf>
    <dxf>
      <fill>
        <patternFill patternType="solid">
          <fgColor rgb="00D9EAF7"/>
        </patternFill>
      </fill>
    </dxf>
    <dxf>
      <font>
        <name val="Aptos"/>
        <strike val="1"/>
        <color rgb="00777777"/>
        <sz val="10"/>
      </font>
      <fill>
        <patternFill patternType="solid">
          <fgColor rgb="00E7E6E6"/>
        </patternFill>
      </fill>
    </dxf>
    <dxf>
      <fill>
        <patternFill patternType="solid">
          <fgColor rgb="00E7E6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Disponibilidad actual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'Resumen'!K2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'Resumen'!$J$3:$J$7</f>
            </numRef>
          </cat>
          <val>
            <numRef>
              <f>'Resumen'!$K$3:$K$7</f>
            </numRef>
          </val>
        </ser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Unidades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Uso de tarjetas por sesión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'Resumen'!K11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'Resumen'!$J$12:$J$19</f>
            </numRef>
          </cat>
          <val>
            <numRef>
              <f>'Resumen'!$K$12:$K$19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GB usados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4</col>
      <colOff>0</colOff>
      <row>7</row>
      <rowOff>0</rowOff>
    </from>
    <ext cx="486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22</row>
      <rowOff>0</rowOff>
    </from>
    <ext cx="4860000" cy="30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Inventario" displayName="tblInventario" ref="A1:T151" headerRowCount="1">
  <autoFilter ref="A1:T151"/>
  <tableColumns count="20">
    <tableColumn id="1" name="ID del soporte"/>
    <tableColumn id="2" name="Tipo"/>
    <tableColumn id="3" name="Marca"/>
    <tableColumn id="4" name="Modelo"/>
    <tableColumn id="5" name="Código interno"/>
    <tableColumn id="6" name="Capacidad de batería (mAh)"/>
    <tableColumn id="7" name="Capacidad de tarjeta (GB)"/>
    <tableColumn id="8" name="Clase o interfaz"/>
    <tableColumn id="9" name="Estado del soporte"/>
    <tableColumn id="10" name="Carga actual (%)"/>
    <tableColumn id="11" name="Espacio libre actual (GB)"/>
    <tableColumn id="12" name="Descarga verificada"/>
    <tableColumn id="13" name="Borrado realizado"/>
    <tableColumn id="14" name="Fecha de última revisión"/>
    <tableColumn id="15" name="Asignación abierta"/>
    <tableColumn id="16" name="Sesión actual"/>
    <tableColumn id="17" name="Espacio libre (%)"/>
    <tableColumn id="18" name="Estado operativo"/>
    <tableColumn id="19" name="Alerta"/>
    <tableColumn id="20" name="Observacion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Sesiones" displayName="tblSesiones" ref="A1:N101" headerRowCount="1">
  <autoFilter ref="A1:N101"/>
  <tableColumns count="14">
    <tableColumn id="1" name="ID de sesión"/>
    <tableColumn id="2" name="Sesión"/>
    <tableColumn id="3" name="Empresa o proyecto"/>
    <tableColumn id="4" name="Fecha"/>
    <tableColumn id="5" name="Tipo de trabajo"/>
    <tableColumn id="6" name="Equipo principal"/>
    <tableColumn id="7" name="Responsable"/>
    <tableColumn id="8" name="Estado"/>
    <tableColumn id="9" name="Baterías asignadas"/>
    <tableColumn id="10" name="Tarjetas asignadas"/>
    <tableColumn id="11" name="Controles abiertos"/>
    <tableColumn id="12" name="GB registrados"/>
    <tableColumn id="13" name="Alerta"/>
    <tableColumn id="14" name="Observacione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blControl" displayName="tblControl" ref="A1:T301" headerRowCount="1">
  <autoFilter ref="A1:T301"/>
  <tableColumns count="20">
    <tableColumn id="1" name="ID de control"/>
    <tableColumn id="2" name="ID de sesión"/>
    <tableColumn id="3" name="ID del soporte"/>
    <tableColumn id="4" name="Tipo"/>
    <tableColumn id="5" name="Equipo o destino"/>
    <tableColumn id="6" name="Fecha de salida"/>
    <tableColumn id="7" name="Carga de salida (%)"/>
    <tableColumn id="8" name="Espacio libre de salida (GB)"/>
    <tableColumn id="9" name="Fecha de devolución"/>
    <tableColumn id="10" name="Carga de devolución (%)"/>
    <tableColumn id="11" name="GB usados"/>
    <tableColumn id="12" name="Descarga realizada"/>
    <tableColumn id="13" name="Fecha de descarga"/>
    <tableColumn id="14" name="Descarga verificada"/>
    <tableColumn id="15" name="Borrado realizado"/>
    <tableColumn id="16" name="Fecha de borrado"/>
    <tableColumn id="17" name="Incidencia"/>
    <tableColumn id="18" name="Estado del control"/>
    <tableColumn id="19" name="Comprobación"/>
    <tableColumn id="20" name="Responsab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1"/>
  <sheetViews>
    <sheetView showGridLines="0" zoomScale="85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35" customWidth="1" min="3" max="3"/>
    <col width="3" customWidth="1" min="4" max="4"/>
    <col width="15" customWidth="1" min="5" max="5"/>
    <col width="15" customWidth="1" min="6" max="6"/>
    <col width="15" customWidth="1" min="7" max="7"/>
    <col width="15" customWidth="1" min="8" max="8"/>
    <col width="3" customWidth="1" min="9" max="9"/>
    <col hidden="1" outlineLevel="1" width="25" customWidth="1" min="10" max="11"/>
  </cols>
  <sheetData>
    <row r="1" ht="34" customHeight="1">
      <c r="A1" s="1" t="inlineStr">
        <is>
          <t>Control de baterías y tarjetas de memoria</t>
        </is>
      </c>
      <c r="B1" s="42" t="n"/>
      <c r="C1" s="42" t="n"/>
      <c r="D1" s="42" t="n"/>
      <c r="E1" s="42" t="n"/>
      <c r="F1" s="42" t="n"/>
      <c r="G1" s="42" t="n"/>
      <c r="H1" s="43" t="n"/>
    </row>
    <row r="2">
      <c r="B2" s="3" t="inlineStr">
        <is>
          <t>Sesión analizada</t>
        </is>
      </c>
      <c r="C2" s="4" t="inlineStr"/>
      <c r="J2" s="5" t="inlineStr">
        <is>
          <t>Estado</t>
        </is>
      </c>
      <c r="K2" s="5" t="inlineStr">
        <is>
          <t>Cantidad</t>
        </is>
      </c>
    </row>
    <row r="3">
      <c r="B3" s="3" t="inlineStr">
        <is>
          <t>Carga mínima para estar preparada</t>
        </is>
      </c>
      <c r="C3" s="44" t="n">
        <v>80</v>
      </c>
      <c r="J3" s="7" t="inlineStr">
        <is>
          <t>Baterías preparadas</t>
        </is>
      </c>
      <c r="K3" s="7">
        <f>B21</f>
        <v/>
      </c>
    </row>
    <row r="4">
      <c r="B4" s="3" t="inlineStr">
        <is>
          <t>Espacio libre mínimo en tarjeta</t>
        </is>
      </c>
      <c r="C4" s="44" t="n">
        <v>20</v>
      </c>
      <c r="J4" s="7" t="inlineStr">
        <is>
          <t>Baterías por cargar</t>
        </is>
      </c>
      <c r="K4" s="7">
        <f>B22</f>
        <v/>
      </c>
    </row>
    <row r="5">
      <c r="B5" s="3" t="inlineStr">
        <is>
          <t>Días de aviso antes de una sesión</t>
        </is>
      </c>
      <c r="C5" s="4" t="n">
        <v>2</v>
      </c>
      <c r="J5" s="7" t="inlineStr">
        <is>
          <t>Tarjetas preparadas</t>
        </is>
      </c>
      <c r="K5" s="7">
        <f>B24</f>
        <v/>
      </c>
    </row>
    <row r="6">
      <c r="B6" s="3" t="inlineStr">
        <is>
          <t>Fecha de referencia</t>
        </is>
      </c>
      <c r="C6" s="8">
        <f>TODAY()</f>
        <v/>
      </c>
      <c r="J6" s="7" t="inlineStr">
        <is>
          <t>Pendientes de descarga</t>
        </is>
      </c>
      <c r="K6" s="7">
        <f>B25</f>
        <v/>
      </c>
    </row>
    <row r="7">
      <c r="J7" s="7" t="inlineStr">
        <is>
          <t>Pendientes de borrado</t>
        </is>
      </c>
      <c r="K7" s="7">
        <f>B26</f>
        <v/>
      </c>
    </row>
    <row r="8">
      <c r="A8" s="9" t="inlineStr">
        <is>
          <t>Resumen de la sesión seleccionada</t>
        </is>
      </c>
      <c r="B8" s="42" t="n"/>
      <c r="C8" s="43" t="n"/>
      <c r="J8" s="7" t="n"/>
      <c r="K8" s="7" t="n"/>
    </row>
    <row r="9">
      <c r="A9" s="10" t="inlineStr">
        <is>
          <t>Nombre de la sesión</t>
        </is>
      </c>
      <c r="B9" s="11">
        <f>IF($C$2="","",IF(COUNTIF(tblSesiones[ID de sesión],$C$2)=0,"Sesión no encontrada",IFERROR(_xlfn.XLOOKUP($C$2,tblSesiones[ID de sesión],tblSesiones[Sesión],""),"")))</f>
        <v/>
      </c>
      <c r="C9" s="43" t="n"/>
      <c r="J9" s="7" t="n"/>
      <c r="K9" s="7" t="n"/>
    </row>
    <row r="10">
      <c r="A10" s="10" t="inlineStr">
        <is>
          <t>Fecha</t>
        </is>
      </c>
      <c r="B10" s="13">
        <f>IF($C$2="","",IFERROR(_xlfn.XLOOKUP($C$2,tblSesiones[ID de sesión],tblSesiones[Fecha],""),""))</f>
        <v/>
      </c>
      <c r="C10" s="43" t="n"/>
      <c r="J10" s="7" t="n"/>
      <c r="K10" s="7" t="n"/>
    </row>
    <row r="11">
      <c r="A11" s="10" t="inlineStr">
        <is>
          <t>Estado</t>
        </is>
      </c>
      <c r="B11" s="11">
        <f>IF($C$2="","",IFERROR(_xlfn.XLOOKUP($C$2,tblSesiones[ID de sesión],tblSesiones[Estado],""),""))</f>
        <v/>
      </c>
      <c r="C11" s="43" t="n"/>
      <c r="J11" s="5" t="inlineStr">
        <is>
          <t>Sesión</t>
        </is>
      </c>
      <c r="K11" s="5" t="inlineStr">
        <is>
          <t>GB usados</t>
        </is>
      </c>
    </row>
    <row r="12">
      <c r="A12" s="10" t="inlineStr">
        <is>
          <t>Baterías asignadas</t>
        </is>
      </c>
      <c r="B12" s="11">
        <f>IF($C$2="","",COUNTIFS(tblControl[ID de sesión],$C$2,tblControl[Tipo],"Batería"))</f>
        <v/>
      </c>
      <c r="C12" s="43" t="n"/>
      <c r="J12" s="7">
        <f>IF(Sesiones!A2="","",Sesiones!A2)</f>
        <v/>
      </c>
      <c r="K12" s="7">
        <f>IF(J12="","",SUMIFS(tblControl[GB usados],tblControl[ID de sesión],J12))</f>
        <v/>
      </c>
    </row>
    <row r="13">
      <c r="A13" s="10" t="inlineStr">
        <is>
          <t>Tarjetas asignadas</t>
        </is>
      </c>
      <c r="B13" s="11">
        <f>IF($C$2="","",COUNTIFS(tblControl[ID de sesión],$C$2,tblControl[Tipo],"Tarjeta"))</f>
        <v/>
      </c>
      <c r="C13" s="43" t="n"/>
      <c r="J13" s="7">
        <f>IF(Sesiones!A3="","",Sesiones!A3)</f>
        <v/>
      </c>
      <c r="K13" s="7">
        <f>IF(J13="","",SUMIFS(tblControl[GB usados],tblControl[ID de sesión],J13))</f>
        <v/>
      </c>
    </row>
    <row r="14">
      <c r="A14" s="10" t="inlineStr">
        <is>
          <t>Baterías bajo el mínimo</t>
        </is>
      </c>
      <c r="B14" s="11">
        <f>IF($C$2="","",COUNTIFS(tblControl[ID de sesión],$C$2,tblControl[Tipo],"Batería",tblControl[Carga de salida (%)],"&lt;"&amp;$C$3))</f>
        <v/>
      </c>
      <c r="C14" s="43" t="n"/>
      <c r="J14" s="7">
        <f>IF(Sesiones!A4="","",Sesiones!A4)</f>
        <v/>
      </c>
      <c r="K14" s="7">
        <f>IF(J14="","",SUMIFS(tblControl[GB usados],tblControl[ID de sesión],J14))</f>
        <v/>
      </c>
    </row>
    <row r="15">
      <c r="A15" s="10" t="inlineStr">
        <is>
          <t>Tarjetas bajo el mínimo</t>
        </is>
      </c>
      <c r="B15" s="11">
        <f>IF($C$2="","",SUMPRODUCT((tblControl[ID de sesión]=$C$2)*(tblControl[Tipo]="Tarjeta")*(tblControl[Espacio libre de salida (GB)]&lt;&gt;"")*(IFERROR(tblControl[Espacio libre de salida (GB)]/IFERROR(_xlfn.XLOOKUP(tblControl[ID del soporte],tblInventario[ID del soporte],tblInventario[Capacidad de tarjeta (GB)],0),0),0)&lt;$C$4/100)))</f>
        <v/>
      </c>
      <c r="C15" s="43" t="n"/>
      <c r="J15" s="7">
        <f>IF(Sesiones!A5="","",Sesiones!A5)</f>
        <v/>
      </c>
      <c r="K15" s="7">
        <f>IF(J15="","",SUMIFS(tblControl[GB usados],tblControl[ID de sesión],J15))</f>
        <v/>
      </c>
    </row>
    <row r="16">
      <c r="A16" s="10" t="inlineStr">
        <is>
          <t>Registros pendientes de devolución</t>
        </is>
      </c>
      <c r="B16" s="11">
        <f>IF($C$2="","",COUNTIFS(tblControl[ID de sesión],$C$2,tblControl[Estado del control],"Abierto"))</f>
        <v/>
      </c>
      <c r="C16" s="43" t="n"/>
      <c r="J16" s="7">
        <f>IF(Sesiones!A6="","",Sesiones!A6)</f>
        <v/>
      </c>
      <c r="K16" s="7">
        <f>IF(J16="","",SUMIFS(tblControl[GB usados],tblControl[ID de sesión],J16))</f>
        <v/>
      </c>
    </row>
    <row r="17">
      <c r="A17" s="10" t="inlineStr">
        <is>
          <t>Tarjetas pendientes de descarga o borrado</t>
        </is>
      </c>
      <c r="B17" s="11">
        <f>IF($C$2="","",COUNTIFS(tblControl[ID de sesión],$C$2,tblControl[Tipo],"Tarjeta",tblControl[Estado del control],"Pendiente"))</f>
        <v/>
      </c>
      <c r="C17" s="43" t="n"/>
      <c r="J17" s="7">
        <f>IF(Sesiones!A7="","",Sesiones!A7)</f>
        <v/>
      </c>
      <c r="K17" s="7">
        <f>IF(J17="","",SUMIFS(tblControl[GB usados],tblControl[ID de sesión],J17))</f>
        <v/>
      </c>
    </row>
    <row r="18">
      <c r="J18" s="7">
        <f>IF(Sesiones!A8="","",Sesiones!A8)</f>
        <v/>
      </c>
      <c r="K18" s="7">
        <f>IF(J18="","",SUMIFS(tblControl[GB usados],tblControl[ID de sesión],J18))</f>
        <v/>
      </c>
    </row>
    <row r="19">
      <c r="A19" s="9" t="inlineStr">
        <is>
          <t>Indicadores operativos</t>
        </is>
      </c>
      <c r="B19" s="42" t="n"/>
      <c r="C19" s="43" t="n"/>
      <c r="J19" s="7">
        <f>IF(Sesiones!A9="","",Sesiones!A9)</f>
        <v/>
      </c>
      <c r="K19" s="7">
        <f>IF(J19="","",SUMIFS(tblControl[GB usados],tblControl[ID de sesión],J19))</f>
        <v/>
      </c>
    </row>
    <row r="20">
      <c r="A20" s="14" t="inlineStr">
        <is>
          <t>Baterías activas</t>
        </is>
      </c>
      <c r="B20" s="15">
        <f>COUNTIFS(tblInventario[Tipo],"Batería",tblInventario[Estado del soporte],"Activo")</f>
        <v/>
      </c>
      <c r="C20" s="16" t="inlineStr">
        <is>
          <t>Unidades activas registradas</t>
        </is>
      </c>
      <c r="J20" s="7">
        <f>IF(Sesiones!A10="","",Sesiones!A10)</f>
        <v/>
      </c>
      <c r="K20" s="7">
        <f>IF(J20="","",SUMIFS(tblControl[GB usados],tblControl[ID de sesión],J20))</f>
        <v/>
      </c>
    </row>
    <row r="21">
      <c r="A21" s="10" t="inlineStr">
        <is>
          <t>Baterías preparadas</t>
        </is>
      </c>
      <c r="B21" s="17">
        <f>COUNTIFS(tblInventario[Tipo],"Batería",tblInventario[Estado operativo],"Preparada")</f>
        <v/>
      </c>
      <c r="C21" s="18" t="inlineStr">
        <is>
          <t>Con carga suficiente</t>
        </is>
      </c>
      <c r="J21" s="7">
        <f>IF(Sesiones!A11="","",Sesiones!A11)</f>
        <v/>
      </c>
      <c r="K21" s="7">
        <f>IF(J21="","",SUMIFS(tblControl[GB usados],tblControl[ID de sesión],J21))</f>
        <v/>
      </c>
    </row>
    <row r="22">
      <c r="A22" s="14" t="inlineStr">
        <is>
          <t>Baterías por cargar</t>
        </is>
      </c>
      <c r="B22" s="15">
        <f>COUNTIFS(tblInventario[Tipo],"Batería",tblInventario[Estado operativo],"Cargar")</f>
        <v/>
      </c>
      <c r="C22" s="16" t="inlineStr">
        <is>
          <t>Recargar antes de asignar</t>
        </is>
      </c>
      <c r="J22" s="7">
        <f>IF(Sesiones!A12="","",Sesiones!A12)</f>
        <v/>
      </c>
      <c r="K22" s="7">
        <f>IF(J22="","",SUMIFS(tblControl[GB usados],tblControl[ID de sesión],J22))</f>
        <v/>
      </c>
    </row>
    <row r="23">
      <c r="A23" s="10" t="inlineStr">
        <is>
          <t>Tarjetas activas</t>
        </is>
      </c>
      <c r="B23" s="17">
        <f>COUNTIFS(tblInventario[Tipo],"Tarjeta",tblInventario[Estado del soporte],"Activo")</f>
        <v/>
      </c>
      <c r="C23" s="18" t="inlineStr">
        <is>
          <t>Tarjetas disponibles en catálogo</t>
        </is>
      </c>
      <c r="J23" s="7">
        <f>IF(Sesiones!A13="","",Sesiones!A13)</f>
        <v/>
      </c>
      <c r="K23" s="7">
        <f>IF(J23="","",SUMIFS(tblControl[GB usados],tblControl[ID de sesión],J23))</f>
        <v/>
      </c>
    </row>
    <row r="24">
      <c r="A24" s="14" t="inlineStr">
        <is>
          <t>Tarjetas preparadas</t>
        </is>
      </c>
      <c r="B24" s="15">
        <f>COUNTIFS(tblInventario[Tipo],"Tarjeta",tblInventario[Estado operativo],"Preparada")</f>
        <v/>
      </c>
      <c r="C24" s="16" t="inlineStr">
        <is>
          <t>Descargadas, borradas y con espacio</t>
        </is>
      </c>
      <c r="J24" s="7">
        <f>IF(Sesiones!A14="","",Sesiones!A14)</f>
        <v/>
      </c>
      <c r="K24" s="7">
        <f>IF(J24="","",SUMIFS(tblControl[GB usados],tblControl[ID de sesión],J24))</f>
        <v/>
      </c>
    </row>
    <row r="25">
      <c r="A25" s="10" t="inlineStr">
        <is>
          <t>Pendientes de descarga</t>
        </is>
      </c>
      <c r="B25" s="17">
        <f>COUNTIFS(tblInventario[Tipo],"Tarjeta",tblInventario[Estado operativo],"Pendiente de descarga")</f>
        <v/>
      </c>
      <c r="C25" s="18" t="inlineStr">
        <is>
          <t>Comprobar copia antes de borrar</t>
        </is>
      </c>
      <c r="J25" s="7">
        <f>IF(Sesiones!A15="","",Sesiones!A15)</f>
        <v/>
      </c>
      <c r="K25" s="7">
        <f>IF(J25="","",SUMIFS(tblControl[GB usados],tblControl[ID de sesión],J25))</f>
        <v/>
      </c>
    </row>
    <row r="26">
      <c r="A26" s="14" t="inlineStr">
        <is>
          <t>Pendientes de borrado</t>
        </is>
      </c>
      <c r="B26" s="15">
        <f>COUNTIFS(tblInventario[Tipo],"Tarjeta",tblInventario[Estado operativo],"Pendiente de borrado")</f>
        <v/>
      </c>
      <c r="C26" s="16" t="inlineStr">
        <is>
          <t>Liberar después de verificar</t>
        </is>
      </c>
      <c r="J26" s="7">
        <f>IF(Sesiones!A16="","",Sesiones!A16)</f>
        <v/>
      </c>
      <c r="K26" s="7">
        <f>IF(J26="","",SUMIFS(tblControl[GB usados],tblControl[ID de sesión],J26))</f>
        <v/>
      </c>
    </row>
    <row r="27">
      <c r="A27" s="10" t="inlineStr">
        <is>
          <t>Asignaciones abiertas</t>
        </is>
      </c>
      <c r="B27" s="17">
        <f>COUNTIFS(tblControl[ID de control],"&lt;&gt;",tblControl[Estado del control],"Abierto")</f>
        <v/>
      </c>
      <c r="C27" s="18" t="inlineStr">
        <is>
          <t>Soportes sin devolución</t>
        </is>
      </c>
      <c r="J27" s="7">
        <f>IF(Sesiones!A17="","",Sesiones!A17)</f>
        <v/>
      </c>
      <c r="K27" s="7">
        <f>IF(J27="","",SUMIFS(tblControl[GB usados],tblControl[ID de sesión],J27))</f>
        <v/>
      </c>
    </row>
    <row r="28">
      <c r="A28" s="14" t="inlineStr">
        <is>
          <t>Incidencias abiertas</t>
        </is>
      </c>
      <c r="B28" s="15">
        <f>COUNTIFS(tblControl[ID de control],"&lt;&gt;",tblControl[Incidencia],"&lt;&gt;",tblControl[Estado del control],"Abierto")</f>
        <v/>
      </c>
      <c r="C28" s="16" t="inlineStr">
        <is>
          <t>Registros abiertos con incidencia</t>
        </is>
      </c>
      <c r="J28" s="7">
        <f>IF(Sesiones!A18="","",Sesiones!A18)</f>
        <v/>
      </c>
      <c r="K28" s="7">
        <f>IF(J28="","",SUMIFS(tblControl[GB usados],tblControl[ID de sesión],J28))</f>
        <v/>
      </c>
    </row>
    <row r="29">
      <c r="A29" s="10" t="inlineStr">
        <is>
          <t>Sesiones próximas sin cerrar</t>
        </is>
      </c>
      <c r="B29" s="17">
        <f>COUNTIFS(tblSesiones[ID de sesión],"&lt;&gt;",tblSesiones[Estado],"&lt;&gt;Cerrada",tblSesiones[Estado],"&lt;&gt;Cancelada",tblSesiones[Fecha],"&gt;="&amp;$C$6,tblSesiones[Fecha],"&lt;="&amp;$C$6+$C$5)</f>
        <v/>
      </c>
      <c r="C29" s="18" t="inlineStr">
        <is>
          <t>Dentro del plazo de aviso</t>
        </is>
      </c>
      <c r="J29" s="7">
        <f>IF(Sesiones!A19="","",Sesiones!A19)</f>
        <v/>
      </c>
      <c r="K29" s="7">
        <f>IF(J29="","",SUMIFS(tblControl[GB usados],tblControl[ID de sesión],J29))</f>
        <v/>
      </c>
    </row>
    <row r="30">
      <c r="J30" s="7">
        <f>IF(Sesiones!A20="","",Sesiones!A20)</f>
        <v/>
      </c>
      <c r="K30" s="7">
        <f>IF(J30="","",SUMIFS(tblControl[GB usados],tblControl[ID de sesión],J30))</f>
        <v/>
      </c>
    </row>
    <row r="31">
      <c r="J31" s="7">
        <f>IF(Sesiones!A21="","",Sesiones!A21)</f>
        <v/>
      </c>
      <c r="K31" s="7">
        <f>IF(J31="","",SUMIFS(tblControl[GB usados],tblControl[ID de sesión],J31))</f>
        <v/>
      </c>
    </row>
  </sheetData>
  <mergeCells count="12">
    <mergeCell ref="B13:C13"/>
    <mergeCell ref="B16:C16"/>
    <mergeCell ref="A19:C19"/>
    <mergeCell ref="B15:C15"/>
    <mergeCell ref="B11:C11"/>
    <mergeCell ref="A8:C8"/>
    <mergeCell ref="B10:C10"/>
    <mergeCell ref="B14:C14"/>
    <mergeCell ref="A1:H1"/>
    <mergeCell ref="B9:C9"/>
    <mergeCell ref="B17:C17"/>
    <mergeCell ref="B12:C12"/>
  </mergeCells>
  <conditionalFormatting sqref="B21">
    <cfRule type="cellIs" priority="1" operator="greaterThan" dxfId="0">
      <formula>0</formula>
    </cfRule>
  </conditionalFormatting>
  <conditionalFormatting sqref="B24">
    <cfRule type="cellIs" priority="2" operator="greaterThan" dxfId="0">
      <formula>0</formula>
    </cfRule>
  </conditionalFormatting>
  <conditionalFormatting sqref="B25">
    <cfRule type="cellIs" priority="3" operator="greaterThan" dxfId="1">
      <formula>0</formula>
    </cfRule>
  </conditionalFormatting>
  <conditionalFormatting sqref="B26">
    <cfRule type="cellIs" priority="4" operator="greaterThan" dxfId="1">
      <formula>0</formula>
    </cfRule>
  </conditionalFormatting>
  <conditionalFormatting sqref="B28">
    <cfRule type="cellIs" priority="5" operator="greaterThan" dxfId="1">
      <formula>0</formula>
    </cfRule>
  </conditionalFormatting>
  <conditionalFormatting sqref="B29">
    <cfRule type="cellIs" priority="6" operator="greaterThan" dxfId="2">
      <formula>0</formula>
    </cfRule>
  </conditionalFormatting>
  <conditionalFormatting sqref="B9:C9">
    <cfRule type="expression" priority="7" dxfId="1">
      <formula>$B9="Sesión no encontrada"</formula>
    </cfRule>
  </conditionalFormatting>
  <dataValidations count="3">
    <dataValidation sqref="C2" showDropDown="0" showInputMessage="1" showErrorMessage="1" allowBlank="0" errorTitle="Valor no válido" error="Seleccione un ID de sesión de la lista." promptTitle="Entrada" prompt="Seleccione o introduzca un valor válido." type="list">
      <formula1>=INDIRECT("'Sesiones'!$A$2:$A$101")</formula1>
    </dataValidation>
    <dataValidation sqref="C3:C4" showDropDown="0" showInputMessage="1" showErrorMessage="1" allowBlank="0" errorTitle="Valor no válido" error="Introduzca un entero entre 0 y 100." promptTitle="Entrada" prompt="Seleccione o introduzca un valor válido." type="whole">
      <formula1>0</formula1>
      <formula2>100</formula2>
    </dataValidation>
    <dataValidation sqref="C5" showDropDown="0" showInputMessage="1" showErrorMessage="1" allowBlank="0" errorTitle="Valor no válido" error="Introduzca un entero entre 0 y 30." promptTitle="Entrada" prompt="Seleccione o introduzca un valor válido." type="whole">
      <formula1>0</formula1>
      <formula2>30</formula2>
    </dataValidation>
  </dataValidations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T151"/>
  <sheetViews>
    <sheetView showGridLines="0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6" customWidth="1" min="3" max="3"/>
    <col width="18" customWidth="1" min="4" max="4"/>
    <col width="15" customWidth="1" min="5" max="5"/>
    <col width="18" customWidth="1" min="6" max="6"/>
    <col width="18" customWidth="1" min="7" max="7"/>
    <col width="18" customWidth="1" min="8" max="8"/>
    <col width="18" customWidth="1" min="9" max="9"/>
    <col width="16" customWidth="1" min="10" max="10"/>
    <col width="20" customWidth="1" min="11" max="11"/>
    <col width="18" customWidth="1" min="12" max="12"/>
    <col width="17" customWidth="1" min="13" max="13"/>
    <col width="18" customWidth="1" min="14" max="14"/>
    <col width="17" customWidth="1" min="15" max="15"/>
    <col width="18" customWidth="1" min="16" max="16"/>
    <col width="16" customWidth="1" min="17" max="17"/>
    <col width="23" customWidth="1" min="18" max="18"/>
    <col width="37" customWidth="1" min="19" max="19"/>
    <col width="34" customWidth="1" min="20" max="20"/>
  </cols>
  <sheetData>
    <row r="1" ht="34" customHeight="1">
      <c r="A1" s="19" t="inlineStr">
        <is>
          <t>ID del soporte</t>
        </is>
      </c>
      <c r="B1" s="19" t="inlineStr">
        <is>
          <t>Tipo</t>
        </is>
      </c>
      <c r="C1" s="19" t="inlineStr">
        <is>
          <t>Marca</t>
        </is>
      </c>
      <c r="D1" s="19" t="inlineStr">
        <is>
          <t>Modelo</t>
        </is>
      </c>
      <c r="E1" s="19" t="inlineStr">
        <is>
          <t>Código interno</t>
        </is>
      </c>
      <c r="F1" s="19" t="inlineStr">
        <is>
          <t>Capacidad de batería (mAh)</t>
        </is>
      </c>
      <c r="G1" s="19" t="inlineStr">
        <is>
          <t>Capacidad de tarjeta (GB)</t>
        </is>
      </c>
      <c r="H1" s="19" t="inlineStr">
        <is>
          <t>Clase o interfaz</t>
        </is>
      </c>
      <c r="I1" s="19" t="inlineStr">
        <is>
          <t>Estado del soporte</t>
        </is>
      </c>
      <c r="J1" s="19" t="inlineStr">
        <is>
          <t>Carga actual (%)</t>
        </is>
      </c>
      <c r="K1" s="19" t="inlineStr">
        <is>
          <t>Espacio libre actual (GB)</t>
        </is>
      </c>
      <c r="L1" s="19" t="inlineStr">
        <is>
          <t>Descarga verificada</t>
        </is>
      </c>
      <c r="M1" s="19" t="inlineStr">
        <is>
          <t>Borrado realizado</t>
        </is>
      </c>
      <c r="N1" s="19" t="inlineStr">
        <is>
          <t>Fecha de última revisión</t>
        </is>
      </c>
      <c r="O1" s="19" t="inlineStr">
        <is>
          <t>Asignación abierta</t>
        </is>
      </c>
      <c r="P1" s="19" t="inlineStr">
        <is>
          <t>Sesión actual</t>
        </is>
      </c>
      <c r="Q1" s="19" t="inlineStr">
        <is>
          <t>Espacio libre (%)</t>
        </is>
      </c>
      <c r="R1" s="19" t="inlineStr">
        <is>
          <t>Estado operativo</t>
        </is>
      </c>
      <c r="S1" s="19" t="inlineStr">
        <is>
          <t>Alerta</t>
        </is>
      </c>
      <c r="T1" s="19" t="inlineStr">
        <is>
          <t>Observaciones</t>
        </is>
      </c>
    </row>
    <row r="2" ht="22" customHeight="1">
      <c r="A2" s="20" t="inlineStr">
        <is>
          <t>BAT-001</t>
        </is>
      </c>
      <c r="B2" s="20" t="inlineStr">
        <is>
          <t>Batería</t>
        </is>
      </c>
      <c r="C2" s="20" t="inlineStr">
        <is>
          <t>Voltara</t>
        </is>
      </c>
      <c r="D2" s="20" t="inlineStr">
        <is>
          <t>VX-90</t>
        </is>
      </c>
      <c r="E2" s="20" t="inlineStr">
        <is>
          <t>B-A1</t>
        </is>
      </c>
      <c r="F2" s="20" t="n">
        <v>6200</v>
      </c>
      <c r="G2" s="21" t="n"/>
      <c r="H2" s="20" t="inlineStr">
        <is>
          <t>NP-F</t>
        </is>
      </c>
      <c r="I2" s="20" t="inlineStr">
        <is>
          <t>Activo</t>
        </is>
      </c>
      <c r="J2" s="20" t="n">
        <v>95</v>
      </c>
      <c r="K2" s="21" t="n"/>
      <c r="L2" s="20" t="inlineStr">
        <is>
          <t>No procede</t>
        </is>
      </c>
      <c r="M2" s="20" t="inlineStr">
        <is>
          <t>No procede</t>
        </is>
      </c>
      <c r="N2" s="22" t="n">
        <v>46272</v>
      </c>
      <c r="O2" s="23">
        <f>IF(A2="","",IF(COUNTIFS(tblControl[ID del soporte],A2,tblControl[Estado del control],"Abierto")&gt;0,"Sí","No"))</f>
        <v/>
      </c>
      <c r="P2" s="23">
        <f>IF(A2="","",IFERROR(_xlfn.XLOOKUP(1,(tblControl[ID del soporte]=A2)*(tblControl[Estado del control]="Abierto"),tblControl[ID de sesión],"",0,-1),""))</f>
        <v/>
      </c>
      <c r="Q2" s="24">
        <f>IF(A2="","",IF(B2&lt;&gt;"Tarjeta","",IFERROR(K2/G2,"")))</f>
        <v/>
      </c>
      <c r="R2" s="23">
        <f>IF(A2="","",IF(I2&lt;&gt;"Activo","No disponible",IF(O2="Sí","Asignada",IF(B2="Batería",IF(J2="","Sin revisar",IF(J2&lt;Resumen!$C$3,"Cargar","Preparada")),IF(B2="Tarjeta",IF(OR(G2="",K2=""),"Sin revisar",IF(L2="No","Pendiente de descarga",IF(M2="No","Pendiente de borrado",IF(Q2&lt;Resumen!$C$4,"Liberar espacio","Preparada")))),"Revisar tipo")))))</f>
        <v/>
      </c>
      <c r="S2" s="25">
        <f>IF(A2="","",IF(I2&lt;&gt;"Activo","Soporte no disponible",IF(O2="Sí","Asignado a "&amp;P2,IF(R2="Preparada","",IF(R2="Cargar","Recargar antes de asignar",IF(R2="Pendiente de descarga","Comprobar la descarga antes de borrar",IF(R2="Pendiente de borrado","Borrar después de verificar la descarga",IF(R2="Liberar espacio","Espacio libre inferior al mínimo","Completar la revisión"))))))))</f>
        <v/>
      </c>
      <c r="T2" s="26" t="inlineStr">
        <is>
          <t>Unidad principal</t>
        </is>
      </c>
    </row>
    <row r="3" ht="22" customHeight="1">
      <c r="A3" s="20" t="inlineStr">
        <is>
          <t>BAT-002</t>
        </is>
      </c>
      <c r="B3" s="20" t="inlineStr">
        <is>
          <t>Batería</t>
        </is>
      </c>
      <c r="C3" s="20" t="inlineStr">
        <is>
          <t>Voltara</t>
        </is>
      </c>
      <c r="D3" s="20" t="inlineStr">
        <is>
          <t>VX-90</t>
        </is>
      </c>
      <c r="E3" s="20" t="inlineStr">
        <is>
          <t>B-A2</t>
        </is>
      </c>
      <c r="F3" s="20" t="n">
        <v>6200</v>
      </c>
      <c r="G3" s="21" t="n"/>
      <c r="H3" s="20" t="inlineStr">
        <is>
          <t>NP-F</t>
        </is>
      </c>
      <c r="I3" s="20" t="inlineStr">
        <is>
          <t>Activo</t>
        </is>
      </c>
      <c r="J3" s="20" t="n">
        <v>58</v>
      </c>
      <c r="K3" s="21" t="n"/>
      <c r="L3" s="20" t="inlineStr">
        <is>
          <t>No procede</t>
        </is>
      </c>
      <c r="M3" s="20" t="inlineStr">
        <is>
          <t>No procede</t>
        </is>
      </c>
      <c r="N3" s="22" t="n">
        <v>46271</v>
      </c>
      <c r="O3" s="23">
        <f>IF(A3="","",IF(COUNTIFS(tblControl[ID del soporte],A3,tblControl[Estado del control],"Abierto")&gt;0,"Sí","No"))</f>
        <v/>
      </c>
      <c r="P3" s="23">
        <f>IF(A3="","",IFERROR(_xlfn.XLOOKUP(1,(tblControl[ID del soporte]=A3)*(tblControl[Estado del control]="Abierto"),tblControl[ID de sesión],"",0,-1),""))</f>
        <v/>
      </c>
      <c r="Q3" s="24">
        <f>IF(A3="","",IF(B3&lt;&gt;"Tarjeta","",IFERROR(K3/G3,"")))</f>
        <v/>
      </c>
      <c r="R3" s="23">
        <f>IF(A3="","",IF(I3&lt;&gt;"Activo","No disponible",IF(O3="Sí","Asignada",IF(B3="Batería",IF(J3="","Sin revisar",IF(J3&lt;Resumen!$C$3,"Cargar","Preparada")),IF(B3="Tarjeta",IF(OR(G3="",K3=""),"Sin revisar",IF(L3="No","Pendiente de descarga",IF(M3="No","Pendiente de borrado",IF(Q3&lt;Resumen!$C$4,"Liberar espacio","Preparada")))),"Revisar tipo")))))</f>
        <v/>
      </c>
      <c r="S3" s="25">
        <f>IF(A3="","",IF(I3&lt;&gt;"Activo","Soporte no disponible",IF(O3="Sí","Asignado a "&amp;P3,IF(R3="Preparada","",IF(R3="Cargar","Recargar antes de asignar",IF(R3="Pendiente de descarga","Comprobar la descarga antes de borrar",IF(R3="Pendiente de borrado","Borrar después de verificar la descarga",IF(R3="Liberar espacio","Espacio libre inferior al mínimo","Completar la revisión"))))))))</f>
        <v/>
      </c>
      <c r="T3" s="26" t="inlineStr">
        <is>
          <t>Revisar carga</t>
        </is>
      </c>
    </row>
    <row r="4" ht="22" customHeight="1">
      <c r="A4" s="20" t="inlineStr">
        <is>
          <t>BAT-003</t>
        </is>
      </c>
      <c r="B4" s="20" t="inlineStr">
        <is>
          <t>Batería</t>
        </is>
      </c>
      <c r="C4" s="20" t="inlineStr">
        <is>
          <t>Lumexa</t>
        </is>
      </c>
      <c r="D4" s="20" t="inlineStr">
        <is>
          <t>LP-24</t>
        </is>
      </c>
      <c r="E4" s="20" t="inlineStr">
        <is>
          <t>B-B1</t>
        </is>
      </c>
      <c r="F4" s="20" t="n">
        <v>2400</v>
      </c>
      <c r="G4" s="21" t="n"/>
      <c r="H4" s="20" t="inlineStr">
        <is>
          <t>LP</t>
        </is>
      </c>
      <c r="I4" s="20" t="inlineStr">
        <is>
          <t>Activo</t>
        </is>
      </c>
      <c r="J4" s="20" t="n">
        <v>100</v>
      </c>
      <c r="K4" s="21" t="n"/>
      <c r="L4" s="20" t="inlineStr">
        <is>
          <t>No procede</t>
        </is>
      </c>
      <c r="M4" s="20" t="inlineStr">
        <is>
          <t>No procede</t>
        </is>
      </c>
      <c r="N4" s="22" t="n">
        <v>46272</v>
      </c>
      <c r="O4" s="23">
        <f>IF(A4="","",IF(COUNTIFS(tblControl[ID del soporte],A4,tblControl[Estado del control],"Abierto")&gt;0,"Sí","No"))</f>
        <v/>
      </c>
      <c r="P4" s="23">
        <f>IF(A4="","",IFERROR(_xlfn.XLOOKUP(1,(tblControl[ID del soporte]=A4)*(tblControl[Estado del control]="Abierto"),tblControl[ID de sesión],"",0,-1),""))</f>
        <v/>
      </c>
      <c r="Q4" s="24">
        <f>IF(A4="","",IF(B4&lt;&gt;"Tarjeta","",IFERROR(K4/G4,"")))</f>
        <v/>
      </c>
      <c r="R4" s="23">
        <f>IF(A4="","",IF(I4&lt;&gt;"Activo","No disponible",IF(O4="Sí","Asignada",IF(B4="Batería",IF(J4="","Sin revisar",IF(J4&lt;Resumen!$C$3,"Cargar","Preparada")),IF(B4="Tarjeta",IF(OR(G4="",K4=""),"Sin revisar",IF(L4="No","Pendiente de descarga",IF(M4="No","Pendiente de borrado",IF(Q4&lt;Resumen!$C$4,"Liberar espacio","Preparada")))),"Revisar tipo")))))</f>
        <v/>
      </c>
      <c r="S4" s="25">
        <f>IF(A4="","",IF(I4&lt;&gt;"Activo","Soporte no disponible",IF(O4="Sí","Asignado a "&amp;P4,IF(R4="Preparada","",IF(R4="Cargar","Recargar antes de asignar",IF(R4="Pendiente de descarga","Comprobar la descarga antes de borrar",IF(R4="Pendiente de borrado","Borrar después de verificar la descarga",IF(R4="Liberar espacio","Espacio libre inferior al mínimo","Completar la revisión"))))))))</f>
        <v/>
      </c>
      <c r="T4" s="26" t="inlineStr"/>
    </row>
    <row r="5" ht="22" customHeight="1">
      <c r="A5" s="20" t="inlineStr">
        <is>
          <t>BAT-004</t>
        </is>
      </c>
      <c r="B5" s="20" t="inlineStr">
        <is>
          <t>Batería</t>
        </is>
      </c>
      <c r="C5" s="20" t="inlineStr">
        <is>
          <t>Cinevolt</t>
        </is>
      </c>
      <c r="D5" s="20" t="inlineStr">
        <is>
          <t>CV-150</t>
        </is>
      </c>
      <c r="E5" s="20" t="inlineStr">
        <is>
          <t>B-C1</t>
        </is>
      </c>
      <c r="F5" s="20" t="n">
        <v>10400</v>
      </c>
      <c r="G5" s="21" t="n"/>
      <c r="H5" s="20" t="inlineStr">
        <is>
          <t>V-Mount</t>
        </is>
      </c>
      <c r="I5" s="20" t="inlineStr">
        <is>
          <t>En revisión</t>
        </is>
      </c>
      <c r="J5" s="20" t="n">
        <v>35</v>
      </c>
      <c r="K5" s="21" t="n"/>
      <c r="L5" s="20" t="inlineStr">
        <is>
          <t>No procede</t>
        </is>
      </c>
      <c r="M5" s="20" t="inlineStr">
        <is>
          <t>No procede</t>
        </is>
      </c>
      <c r="N5" s="22" t="n">
        <v>46267</v>
      </c>
      <c r="O5" s="23">
        <f>IF(A5="","",IF(COUNTIFS(tblControl[ID del soporte],A5,tblControl[Estado del control],"Abierto")&gt;0,"Sí","No"))</f>
        <v/>
      </c>
      <c r="P5" s="23">
        <f>IF(A5="","",IFERROR(_xlfn.XLOOKUP(1,(tblControl[ID del soporte]=A5)*(tblControl[Estado del control]="Abierto"),tblControl[ID de sesión],"",0,-1),""))</f>
        <v/>
      </c>
      <c r="Q5" s="24">
        <f>IF(A5="","",IF(B5&lt;&gt;"Tarjeta","",IFERROR(K5/G5,"")))</f>
        <v/>
      </c>
      <c r="R5" s="23">
        <f>IF(A5="","",IF(I5&lt;&gt;"Activo","No disponible",IF(O5="Sí","Asignada",IF(B5="Batería",IF(J5="","Sin revisar",IF(J5&lt;Resumen!$C$3,"Cargar","Preparada")),IF(B5="Tarjeta",IF(OR(G5="",K5=""),"Sin revisar",IF(L5="No","Pendiente de descarga",IF(M5="No","Pendiente de borrado",IF(Q5&lt;Resumen!$C$4,"Liberar espacio","Preparada")))),"Revisar tipo")))))</f>
        <v/>
      </c>
      <c r="S5" s="25">
        <f>IF(A5="","",IF(I5&lt;&gt;"Activo","Soporte no disponible",IF(O5="Sí","Asignado a "&amp;P5,IF(R5="Preparada","",IF(R5="Cargar","Recargar antes de asignar",IF(R5="Pendiente de descarga","Comprobar la descarga antes de borrar",IF(R5="Pendiente de borrado","Borrar después de verificar la descarga",IF(R5="Liberar espacio","Espacio libre inferior al mínimo","Completar la revisión"))))))))</f>
        <v/>
      </c>
      <c r="T5" s="26" t="inlineStr">
        <is>
          <t>Revisión operativa</t>
        </is>
      </c>
    </row>
    <row r="6" ht="22" customHeight="1">
      <c r="A6" s="20" t="inlineStr">
        <is>
          <t>BAT-005</t>
        </is>
      </c>
      <c r="B6" s="20" t="inlineStr">
        <is>
          <t>Batería</t>
        </is>
      </c>
      <c r="C6" s="20" t="inlineStr">
        <is>
          <t>Lumexa</t>
        </is>
      </c>
      <c r="D6" s="20" t="inlineStr">
        <is>
          <t>LP-24</t>
        </is>
      </c>
      <c r="E6" s="20" t="inlineStr">
        <is>
          <t>B-B2</t>
        </is>
      </c>
      <c r="F6" s="20" t="n">
        <v>2400</v>
      </c>
      <c r="G6" s="21" t="n"/>
      <c r="H6" s="20" t="inlineStr">
        <is>
          <t>LP</t>
        </is>
      </c>
      <c r="I6" s="20" t="inlineStr">
        <is>
          <t>Activo</t>
        </is>
      </c>
      <c r="J6" s="20" t="n">
        <v>84</v>
      </c>
      <c r="K6" s="21" t="n"/>
      <c r="L6" s="20" t="inlineStr">
        <is>
          <t>No procede</t>
        </is>
      </c>
      <c r="M6" s="20" t="inlineStr">
        <is>
          <t>No procede</t>
        </is>
      </c>
      <c r="N6" s="22" t="n">
        <v>46271</v>
      </c>
      <c r="O6" s="23">
        <f>IF(A6="","",IF(COUNTIFS(tblControl[ID del soporte],A6,tblControl[Estado del control],"Abierto")&gt;0,"Sí","No"))</f>
        <v/>
      </c>
      <c r="P6" s="23">
        <f>IF(A6="","",IFERROR(_xlfn.XLOOKUP(1,(tblControl[ID del soporte]=A6)*(tblControl[Estado del control]="Abierto"),tblControl[ID de sesión],"",0,-1),""))</f>
        <v/>
      </c>
      <c r="Q6" s="24">
        <f>IF(A6="","",IF(B6&lt;&gt;"Tarjeta","",IFERROR(K6/G6,"")))</f>
        <v/>
      </c>
      <c r="R6" s="23">
        <f>IF(A6="","",IF(I6&lt;&gt;"Activo","No disponible",IF(O6="Sí","Asignada",IF(B6="Batería",IF(J6="","Sin revisar",IF(J6&lt;Resumen!$C$3,"Cargar","Preparada")),IF(B6="Tarjeta",IF(OR(G6="",K6=""),"Sin revisar",IF(L6="No","Pendiente de descarga",IF(M6="No","Pendiente de borrado",IF(Q6&lt;Resumen!$C$4,"Liberar espacio","Preparada")))),"Revisar tipo")))))</f>
        <v/>
      </c>
      <c r="S6" s="25">
        <f>IF(A6="","",IF(I6&lt;&gt;"Activo","Soporte no disponible",IF(O6="Sí","Asignado a "&amp;P6,IF(R6="Preparada","",IF(R6="Cargar","Recargar antes de asignar",IF(R6="Pendiente de descarga","Comprobar la descarga antes de borrar",IF(R6="Pendiente de borrado","Borrar después de verificar la descarga",IF(R6="Liberar espacio","Espacio libre inferior al mínimo","Completar la revisión"))))))))</f>
        <v/>
      </c>
      <c r="T6" s="26" t="inlineStr"/>
    </row>
    <row r="7" ht="22" customHeight="1">
      <c r="A7" s="20" t="inlineStr">
        <is>
          <t>TAR-001</t>
        </is>
      </c>
      <c r="B7" s="20" t="inlineStr">
        <is>
          <t>Tarjeta</t>
        </is>
      </c>
      <c r="C7" s="20" t="inlineStr">
        <is>
          <t>MemoriaNova</t>
        </is>
      </c>
      <c r="D7" s="20" t="inlineStr">
        <is>
          <t>Atlas 128</t>
        </is>
      </c>
      <c r="E7" s="20" t="inlineStr">
        <is>
          <t>T-A1</t>
        </is>
      </c>
      <c r="F7" s="20" t="n"/>
      <c r="G7" s="21" t="n">
        <v>128</v>
      </c>
      <c r="H7" s="20" t="inlineStr">
        <is>
          <t>SDXC V60</t>
        </is>
      </c>
      <c r="I7" s="20" t="inlineStr">
        <is>
          <t>Activo</t>
        </is>
      </c>
      <c r="J7" s="20" t="n"/>
      <c r="K7" s="21" t="n">
        <v>118</v>
      </c>
      <c r="L7" s="20" t="inlineStr">
        <is>
          <t>Sí</t>
        </is>
      </c>
      <c r="M7" s="20" t="inlineStr">
        <is>
          <t>Sí</t>
        </is>
      </c>
      <c r="N7" s="22" t="n">
        <v>46272</v>
      </c>
      <c r="O7" s="23">
        <f>IF(A7="","",IF(COUNTIFS(tblControl[ID del soporte],A7,tblControl[Estado del control],"Abierto")&gt;0,"Sí","No"))</f>
        <v/>
      </c>
      <c r="P7" s="23">
        <f>IF(A7="","",IFERROR(_xlfn.XLOOKUP(1,(tblControl[ID del soporte]=A7)*(tblControl[Estado del control]="Abierto"),tblControl[ID de sesión],"",0,-1),""))</f>
        <v/>
      </c>
      <c r="Q7" s="24">
        <f>IF(A7="","",IF(B7&lt;&gt;"Tarjeta","",IFERROR(K7/G7,"")))</f>
        <v/>
      </c>
      <c r="R7" s="23">
        <f>IF(A7="","",IF(I7&lt;&gt;"Activo","No disponible",IF(O7="Sí","Asignada",IF(B7="Batería",IF(J7="","Sin revisar",IF(J7&lt;Resumen!$C$3,"Cargar","Preparada")),IF(B7="Tarjeta",IF(OR(G7="",K7=""),"Sin revisar",IF(L7="No","Pendiente de descarga",IF(M7="No","Pendiente de borrado",IF(Q7&lt;Resumen!$C$4,"Liberar espacio","Preparada")))),"Revisar tipo")))))</f>
        <v/>
      </c>
      <c r="S7" s="25">
        <f>IF(A7="","",IF(I7&lt;&gt;"Activo","Soporte no disponible",IF(O7="Sí","Asignado a "&amp;P7,IF(R7="Preparada","",IF(R7="Cargar","Recargar antes de asignar",IF(R7="Pendiente de descarga","Comprobar la descarga antes de borrar",IF(R7="Pendiente de borrado","Borrar después de verificar la descarga",IF(R7="Liberar espacio","Espacio libre inferior al mínimo","Completar la revisión"))))))))</f>
        <v/>
      </c>
      <c r="T7" s="26" t="inlineStr"/>
    </row>
    <row r="8" ht="22" customHeight="1">
      <c r="A8" s="20" t="inlineStr">
        <is>
          <t>TAR-002</t>
        </is>
      </c>
      <c r="B8" s="20" t="inlineStr">
        <is>
          <t>Tarjeta</t>
        </is>
      </c>
      <c r="C8" s="20" t="inlineStr">
        <is>
          <t>MemoriaNova</t>
        </is>
      </c>
      <c r="D8" s="20" t="inlineStr">
        <is>
          <t>Atlas 128</t>
        </is>
      </c>
      <c r="E8" s="20" t="inlineStr">
        <is>
          <t>T-A2</t>
        </is>
      </c>
      <c r="F8" s="20" t="n"/>
      <c r="G8" s="21" t="n">
        <v>128</v>
      </c>
      <c r="H8" s="20" t="inlineStr">
        <is>
          <t>SDXC V60</t>
        </is>
      </c>
      <c r="I8" s="20" t="inlineStr">
        <is>
          <t>Activo</t>
        </is>
      </c>
      <c r="J8" s="20" t="n"/>
      <c r="K8" s="21" t="n">
        <v>18</v>
      </c>
      <c r="L8" s="20" t="inlineStr">
        <is>
          <t>Sí</t>
        </is>
      </c>
      <c r="M8" s="20" t="inlineStr">
        <is>
          <t>No</t>
        </is>
      </c>
      <c r="N8" s="22" t="n">
        <v>46271</v>
      </c>
      <c r="O8" s="23">
        <f>IF(A8="","",IF(COUNTIFS(tblControl[ID del soporte],A8,tblControl[Estado del control],"Abierto")&gt;0,"Sí","No"))</f>
        <v/>
      </c>
      <c r="P8" s="23">
        <f>IF(A8="","",IFERROR(_xlfn.XLOOKUP(1,(tblControl[ID del soporte]=A8)*(tblControl[Estado del control]="Abierto"),tblControl[ID de sesión],"",0,-1),""))</f>
        <v/>
      </c>
      <c r="Q8" s="24">
        <f>IF(A8="","",IF(B8&lt;&gt;"Tarjeta","",IFERROR(K8/G8,"")))</f>
        <v/>
      </c>
      <c r="R8" s="23">
        <f>IF(A8="","",IF(I8&lt;&gt;"Activo","No disponible",IF(O8="Sí","Asignada",IF(B8="Batería",IF(J8="","Sin revisar",IF(J8&lt;Resumen!$C$3,"Cargar","Preparada")),IF(B8="Tarjeta",IF(OR(G8="",K8=""),"Sin revisar",IF(L8="No","Pendiente de descarga",IF(M8="No","Pendiente de borrado",IF(Q8&lt;Resumen!$C$4,"Liberar espacio","Preparada")))),"Revisar tipo")))))</f>
        <v/>
      </c>
      <c r="S8" s="25">
        <f>IF(A8="","",IF(I8&lt;&gt;"Activo","Soporte no disponible",IF(O8="Sí","Asignado a "&amp;P8,IF(R8="Preparada","",IF(R8="Cargar","Recargar antes de asignar",IF(R8="Pendiente de descarga","Comprobar la descarga antes de borrar",IF(R8="Pendiente de borrado","Borrar después de verificar la descarga",IF(R8="Liberar espacio","Espacio libre inferior al mínimo","Completar la revisión"))))))))</f>
        <v/>
      </c>
      <c r="T8" s="26" t="inlineStr">
        <is>
          <t>Pendiente de liberar</t>
        </is>
      </c>
    </row>
    <row r="9" ht="22" customHeight="1">
      <c r="A9" s="20" t="inlineStr">
        <is>
          <t>TAR-003</t>
        </is>
      </c>
      <c r="B9" s="20" t="inlineStr">
        <is>
          <t>Tarjeta</t>
        </is>
      </c>
      <c r="C9" s="20" t="inlineStr">
        <is>
          <t>PixelByte</t>
        </is>
      </c>
      <c r="D9" s="20" t="inlineStr">
        <is>
          <t>Flux 256</t>
        </is>
      </c>
      <c r="E9" s="20" t="inlineStr">
        <is>
          <t>T-B1</t>
        </is>
      </c>
      <c r="F9" s="20" t="n"/>
      <c r="G9" s="21" t="n">
        <v>256</v>
      </c>
      <c r="H9" s="20" t="inlineStr">
        <is>
          <t>CFexpress B</t>
        </is>
      </c>
      <c r="I9" s="20" t="inlineStr">
        <is>
          <t>Activo</t>
        </is>
      </c>
      <c r="J9" s="20" t="n"/>
      <c r="K9" s="21" t="n">
        <v>214</v>
      </c>
      <c r="L9" s="20" t="inlineStr">
        <is>
          <t>Sí</t>
        </is>
      </c>
      <c r="M9" s="20" t="inlineStr">
        <is>
          <t>Sí</t>
        </is>
      </c>
      <c r="N9" s="22" t="n">
        <v>46272</v>
      </c>
      <c r="O9" s="23">
        <f>IF(A9="","",IF(COUNTIFS(tblControl[ID del soporte],A9,tblControl[Estado del control],"Abierto")&gt;0,"Sí","No"))</f>
        <v/>
      </c>
      <c r="P9" s="23">
        <f>IF(A9="","",IFERROR(_xlfn.XLOOKUP(1,(tblControl[ID del soporte]=A9)*(tblControl[Estado del control]="Abierto"),tblControl[ID de sesión],"",0,-1),""))</f>
        <v/>
      </c>
      <c r="Q9" s="24">
        <f>IF(A9="","",IF(B9&lt;&gt;"Tarjeta","",IFERROR(K9/G9,"")))</f>
        <v/>
      </c>
      <c r="R9" s="23">
        <f>IF(A9="","",IF(I9&lt;&gt;"Activo","No disponible",IF(O9="Sí","Asignada",IF(B9="Batería",IF(J9="","Sin revisar",IF(J9&lt;Resumen!$C$3,"Cargar","Preparada")),IF(B9="Tarjeta",IF(OR(G9="",K9=""),"Sin revisar",IF(L9="No","Pendiente de descarga",IF(M9="No","Pendiente de borrado",IF(Q9&lt;Resumen!$C$4,"Liberar espacio","Preparada")))),"Revisar tipo")))))</f>
        <v/>
      </c>
      <c r="S9" s="25">
        <f>IF(A9="","",IF(I9&lt;&gt;"Activo","Soporte no disponible",IF(O9="Sí","Asignado a "&amp;P9,IF(R9="Preparada","",IF(R9="Cargar","Recargar antes de asignar",IF(R9="Pendiente de descarga","Comprobar la descarga antes de borrar",IF(R9="Pendiente de borrado","Borrar después de verificar la descarga",IF(R9="Liberar espacio","Espacio libre inferior al mínimo","Completar la revisión"))))))))</f>
        <v/>
      </c>
      <c r="T9" s="26" t="inlineStr"/>
    </row>
    <row r="10" ht="22" customHeight="1">
      <c r="A10" s="20" t="inlineStr">
        <is>
          <t>TAR-004</t>
        </is>
      </c>
      <c r="B10" s="20" t="inlineStr">
        <is>
          <t>Tarjeta</t>
        </is>
      </c>
      <c r="C10" s="20" t="inlineStr">
        <is>
          <t>PixelByte</t>
        </is>
      </c>
      <c r="D10" s="20" t="inlineStr">
        <is>
          <t>Flux 256</t>
        </is>
      </c>
      <c r="E10" s="20" t="inlineStr">
        <is>
          <t>T-B2</t>
        </is>
      </c>
      <c r="F10" s="20" t="n"/>
      <c r="G10" s="21" t="n">
        <v>256</v>
      </c>
      <c r="H10" s="20" t="inlineStr">
        <is>
          <t>CFexpress B</t>
        </is>
      </c>
      <c r="I10" s="20" t="inlineStr">
        <is>
          <t>Activo</t>
        </is>
      </c>
      <c r="J10" s="20" t="n"/>
      <c r="K10" s="21" t="n">
        <v>42</v>
      </c>
      <c r="L10" s="20" t="inlineStr">
        <is>
          <t>No</t>
        </is>
      </c>
      <c r="M10" s="20" t="inlineStr">
        <is>
          <t>No</t>
        </is>
      </c>
      <c r="N10" s="22" t="n">
        <v>46270</v>
      </c>
      <c r="O10" s="23">
        <f>IF(A10="","",IF(COUNTIFS(tblControl[ID del soporte],A10,tblControl[Estado del control],"Abierto")&gt;0,"Sí","No"))</f>
        <v/>
      </c>
      <c r="P10" s="23">
        <f>IF(A10="","",IFERROR(_xlfn.XLOOKUP(1,(tblControl[ID del soporte]=A10)*(tblControl[Estado del control]="Abierto"),tblControl[ID de sesión],"",0,-1),""))</f>
        <v/>
      </c>
      <c r="Q10" s="24">
        <f>IF(A10="","",IF(B10&lt;&gt;"Tarjeta","",IFERROR(K10/G10,"")))</f>
        <v/>
      </c>
      <c r="R10" s="23">
        <f>IF(A10="","",IF(I10&lt;&gt;"Activo","No disponible",IF(O10="Sí","Asignada",IF(B10="Batería",IF(J10="","Sin revisar",IF(J10&lt;Resumen!$C$3,"Cargar","Preparada")),IF(B10="Tarjeta",IF(OR(G10="",K10=""),"Sin revisar",IF(L10="No","Pendiente de descarga",IF(M10="No","Pendiente de borrado",IF(Q10&lt;Resumen!$C$4,"Liberar espacio","Preparada")))),"Revisar tipo")))))</f>
        <v/>
      </c>
      <c r="S10" s="25">
        <f>IF(A10="","",IF(I10&lt;&gt;"Activo","Soporte no disponible",IF(O10="Sí","Asignado a "&amp;P10,IF(R10="Preparada","",IF(R10="Cargar","Recargar antes de asignar",IF(R10="Pendiente de descarga","Comprobar la descarga antes de borrar",IF(R10="Pendiente de borrado","Borrar después de verificar la descarga",IF(R10="Liberar espacio","Espacio libre inferior al mínimo","Completar la revisión"))))))))</f>
        <v/>
      </c>
      <c r="T10" s="26" t="inlineStr">
        <is>
          <t>Descarga pendiente</t>
        </is>
      </c>
    </row>
    <row r="11" ht="22" customHeight="1">
      <c r="A11" s="20" t="inlineStr">
        <is>
          <t>TAR-005</t>
        </is>
      </c>
      <c r="B11" s="20" t="inlineStr">
        <is>
          <t>Tarjeta</t>
        </is>
      </c>
      <c r="C11" s="20" t="inlineStr">
        <is>
          <t>Datosfera</t>
        </is>
      </c>
      <c r="D11" s="20" t="inlineStr">
        <is>
          <t>Sprint 64</t>
        </is>
      </c>
      <c r="E11" s="20" t="inlineStr">
        <is>
          <t>T-C1</t>
        </is>
      </c>
      <c r="F11" s="20" t="n"/>
      <c r="G11" s="21" t="n">
        <v>64</v>
      </c>
      <c r="H11" s="20" t="inlineStr">
        <is>
          <t>SDXC V30</t>
        </is>
      </c>
      <c r="I11" s="20" t="inlineStr">
        <is>
          <t>Retirado</t>
        </is>
      </c>
      <c r="J11" s="20" t="n"/>
      <c r="K11" s="21" t="n">
        <v>0</v>
      </c>
      <c r="L11" s="20" t="inlineStr">
        <is>
          <t>Sí</t>
        </is>
      </c>
      <c r="M11" s="20" t="inlineStr">
        <is>
          <t>Sí</t>
        </is>
      </c>
      <c r="N11" s="22" t="n">
        <v>46266</v>
      </c>
      <c r="O11" s="23">
        <f>IF(A11="","",IF(COUNTIFS(tblControl[ID del soporte],A11,tblControl[Estado del control],"Abierto")&gt;0,"Sí","No"))</f>
        <v/>
      </c>
      <c r="P11" s="23">
        <f>IF(A11="","",IFERROR(_xlfn.XLOOKUP(1,(tblControl[ID del soporte]=A11)*(tblControl[Estado del control]="Abierto"),tblControl[ID de sesión],"",0,-1),""))</f>
        <v/>
      </c>
      <c r="Q11" s="24">
        <f>IF(A11="","",IF(B11&lt;&gt;"Tarjeta","",IFERROR(K11/G11,"")))</f>
        <v/>
      </c>
      <c r="R11" s="23">
        <f>IF(A11="","",IF(I11&lt;&gt;"Activo","No disponible",IF(O11="Sí","Asignada",IF(B11="Batería",IF(J11="","Sin revisar",IF(J11&lt;Resumen!$C$3,"Cargar","Preparada")),IF(B11="Tarjeta",IF(OR(G11="",K11=""),"Sin revisar",IF(L11="No","Pendiente de descarga",IF(M11="No","Pendiente de borrado",IF(Q11&lt;Resumen!$C$4,"Liberar espacio","Preparada")))),"Revisar tipo")))))</f>
        <v/>
      </c>
      <c r="S11" s="25">
        <f>IF(A11="","",IF(I11&lt;&gt;"Activo","Soporte no disponible",IF(O11="Sí","Asignado a "&amp;P11,IF(R11="Preparada","",IF(R11="Cargar","Recargar antes de asignar",IF(R11="Pendiente de descarga","Comprobar la descarga antes de borrar",IF(R11="Pendiente de borrado","Borrar después de verificar la descarga",IF(R11="Liberar espacio","Espacio libre inferior al mínimo","Completar la revisión"))))))))</f>
        <v/>
      </c>
      <c r="T11" s="26" t="inlineStr">
        <is>
          <t>Retirada del servicio</t>
        </is>
      </c>
    </row>
    <row r="12" ht="22" customHeight="1">
      <c r="A12" s="20" t="n"/>
      <c r="B12" s="20" t="n"/>
      <c r="C12" s="20" t="n"/>
      <c r="D12" s="20" t="n"/>
      <c r="E12" s="20" t="n"/>
      <c r="F12" s="20" t="n"/>
      <c r="G12" s="21" t="n"/>
      <c r="H12" s="20" t="n"/>
      <c r="I12" s="20" t="n"/>
      <c r="J12" s="20" t="n"/>
      <c r="K12" s="21" t="n"/>
      <c r="L12" s="20" t="n"/>
      <c r="M12" s="20" t="n"/>
      <c r="N12" s="22" t="n"/>
      <c r="O12" s="23">
        <f>IF(A12="","",IF(COUNTIFS(tblControl[ID del soporte],A12,tblControl[Estado del control],"Abierto")&gt;0,"Sí","No"))</f>
        <v/>
      </c>
      <c r="P12" s="23">
        <f>IF(A12="","",IFERROR(_xlfn.XLOOKUP(1,(tblControl[ID del soporte]=A12)*(tblControl[Estado del control]="Abierto"),tblControl[ID de sesión],"",0,-1),""))</f>
        <v/>
      </c>
      <c r="Q12" s="24">
        <f>IF(A12="","",IF(B12&lt;&gt;"Tarjeta","",IFERROR(K12/G12,"")))</f>
        <v/>
      </c>
      <c r="R12" s="23">
        <f>IF(A12="","",IF(I12&lt;&gt;"Activo","No disponible",IF(O12="Sí","Asignada",IF(B12="Batería",IF(J12="","Sin revisar",IF(J12&lt;Resumen!$C$3,"Cargar","Preparada")),IF(B12="Tarjeta",IF(OR(G12="",K12=""),"Sin revisar",IF(L12="No","Pendiente de descarga",IF(M12="No","Pendiente de borrado",IF(Q12&lt;Resumen!$C$4,"Liberar espacio","Preparada")))),"Revisar tipo")))))</f>
        <v/>
      </c>
      <c r="S12" s="25">
        <f>IF(A12="","",IF(I12&lt;&gt;"Activo","Soporte no disponible",IF(O12="Sí","Asignado a "&amp;P12,IF(R12="Preparada","",IF(R12="Cargar","Recargar antes de asignar",IF(R12="Pendiente de descarga","Comprobar la descarga antes de borrar",IF(R12="Pendiente de borrado","Borrar después de verificar la descarga",IF(R12="Liberar espacio","Espacio libre inferior al mínimo","Completar la revisión"))))))))</f>
        <v/>
      </c>
      <c r="T12" s="26" t="n"/>
    </row>
    <row r="13" ht="22" customHeight="1">
      <c r="A13" s="20" t="n"/>
      <c r="B13" s="20" t="n"/>
      <c r="C13" s="20" t="n"/>
      <c r="D13" s="20" t="n"/>
      <c r="E13" s="20" t="n"/>
      <c r="F13" s="20" t="n"/>
      <c r="G13" s="21" t="n"/>
      <c r="H13" s="20" t="n"/>
      <c r="I13" s="20" t="n"/>
      <c r="J13" s="20" t="n"/>
      <c r="K13" s="21" t="n"/>
      <c r="L13" s="20" t="n"/>
      <c r="M13" s="20" t="n"/>
      <c r="N13" s="22" t="n"/>
      <c r="O13" s="23">
        <f>IF(A13="","",IF(COUNTIFS(tblControl[ID del soporte],A13,tblControl[Estado del control],"Abierto")&gt;0,"Sí","No"))</f>
        <v/>
      </c>
      <c r="P13" s="23">
        <f>IF(A13="","",IFERROR(_xlfn.XLOOKUP(1,(tblControl[ID del soporte]=A13)*(tblControl[Estado del control]="Abierto"),tblControl[ID de sesión],"",0,-1),""))</f>
        <v/>
      </c>
      <c r="Q13" s="24">
        <f>IF(A13="","",IF(B13&lt;&gt;"Tarjeta","",IFERROR(K13/G13,"")))</f>
        <v/>
      </c>
      <c r="R13" s="23">
        <f>IF(A13="","",IF(I13&lt;&gt;"Activo","No disponible",IF(O13="Sí","Asignada",IF(B13="Batería",IF(J13="","Sin revisar",IF(J13&lt;Resumen!$C$3,"Cargar","Preparada")),IF(B13="Tarjeta",IF(OR(G13="",K13=""),"Sin revisar",IF(L13="No","Pendiente de descarga",IF(M13="No","Pendiente de borrado",IF(Q13&lt;Resumen!$C$4,"Liberar espacio","Preparada")))),"Revisar tipo")))))</f>
        <v/>
      </c>
      <c r="S13" s="25">
        <f>IF(A13="","",IF(I13&lt;&gt;"Activo","Soporte no disponible",IF(O13="Sí","Asignado a "&amp;P13,IF(R13="Preparada","",IF(R13="Cargar","Recargar antes de asignar",IF(R13="Pendiente de descarga","Comprobar la descarga antes de borrar",IF(R13="Pendiente de borrado","Borrar después de verificar la descarga",IF(R13="Liberar espacio","Espacio libre inferior al mínimo","Completar la revisión"))))))))</f>
        <v/>
      </c>
      <c r="T13" s="26" t="n"/>
    </row>
    <row r="14" ht="22" customHeight="1">
      <c r="A14" s="20" t="n"/>
      <c r="B14" s="20" t="n"/>
      <c r="C14" s="20" t="n"/>
      <c r="D14" s="20" t="n"/>
      <c r="E14" s="20" t="n"/>
      <c r="F14" s="20" t="n"/>
      <c r="G14" s="21" t="n"/>
      <c r="H14" s="20" t="n"/>
      <c r="I14" s="20" t="n"/>
      <c r="J14" s="20" t="n"/>
      <c r="K14" s="21" t="n"/>
      <c r="L14" s="20" t="n"/>
      <c r="M14" s="20" t="n"/>
      <c r="N14" s="22" t="n"/>
      <c r="O14" s="23">
        <f>IF(A14="","",IF(COUNTIFS(tblControl[ID del soporte],A14,tblControl[Estado del control],"Abierto")&gt;0,"Sí","No"))</f>
        <v/>
      </c>
      <c r="P14" s="23">
        <f>IF(A14="","",IFERROR(_xlfn.XLOOKUP(1,(tblControl[ID del soporte]=A14)*(tblControl[Estado del control]="Abierto"),tblControl[ID de sesión],"",0,-1),""))</f>
        <v/>
      </c>
      <c r="Q14" s="24">
        <f>IF(A14="","",IF(B14&lt;&gt;"Tarjeta","",IFERROR(K14/G14,"")))</f>
        <v/>
      </c>
      <c r="R14" s="23">
        <f>IF(A14="","",IF(I14&lt;&gt;"Activo","No disponible",IF(O14="Sí","Asignada",IF(B14="Batería",IF(J14="","Sin revisar",IF(J14&lt;Resumen!$C$3,"Cargar","Preparada")),IF(B14="Tarjeta",IF(OR(G14="",K14=""),"Sin revisar",IF(L14="No","Pendiente de descarga",IF(M14="No","Pendiente de borrado",IF(Q14&lt;Resumen!$C$4,"Liberar espacio","Preparada")))),"Revisar tipo")))))</f>
        <v/>
      </c>
      <c r="S14" s="25">
        <f>IF(A14="","",IF(I14&lt;&gt;"Activo","Soporte no disponible",IF(O14="Sí","Asignado a "&amp;P14,IF(R14="Preparada","",IF(R14="Cargar","Recargar antes de asignar",IF(R14="Pendiente de descarga","Comprobar la descarga antes de borrar",IF(R14="Pendiente de borrado","Borrar después de verificar la descarga",IF(R14="Liberar espacio","Espacio libre inferior al mínimo","Completar la revisión"))))))))</f>
        <v/>
      </c>
      <c r="T14" s="26" t="n"/>
    </row>
    <row r="15" ht="22" customHeight="1">
      <c r="A15" s="20" t="n"/>
      <c r="B15" s="20" t="n"/>
      <c r="C15" s="20" t="n"/>
      <c r="D15" s="20" t="n"/>
      <c r="E15" s="20" t="n"/>
      <c r="F15" s="20" t="n"/>
      <c r="G15" s="21" t="n"/>
      <c r="H15" s="20" t="n"/>
      <c r="I15" s="20" t="n"/>
      <c r="J15" s="20" t="n"/>
      <c r="K15" s="21" t="n"/>
      <c r="L15" s="20" t="n"/>
      <c r="M15" s="20" t="n"/>
      <c r="N15" s="22" t="n"/>
      <c r="O15" s="23">
        <f>IF(A15="","",IF(COUNTIFS(tblControl[ID del soporte],A15,tblControl[Estado del control],"Abierto")&gt;0,"Sí","No"))</f>
        <v/>
      </c>
      <c r="P15" s="23">
        <f>IF(A15="","",IFERROR(_xlfn.XLOOKUP(1,(tblControl[ID del soporte]=A15)*(tblControl[Estado del control]="Abierto"),tblControl[ID de sesión],"",0,-1),""))</f>
        <v/>
      </c>
      <c r="Q15" s="24">
        <f>IF(A15="","",IF(B15&lt;&gt;"Tarjeta","",IFERROR(K15/G15,"")))</f>
        <v/>
      </c>
      <c r="R15" s="23">
        <f>IF(A15="","",IF(I15&lt;&gt;"Activo","No disponible",IF(O15="Sí","Asignada",IF(B15="Batería",IF(J15="","Sin revisar",IF(J15&lt;Resumen!$C$3,"Cargar","Preparada")),IF(B15="Tarjeta",IF(OR(G15="",K15=""),"Sin revisar",IF(L15="No","Pendiente de descarga",IF(M15="No","Pendiente de borrado",IF(Q15&lt;Resumen!$C$4,"Liberar espacio","Preparada")))),"Revisar tipo")))))</f>
        <v/>
      </c>
      <c r="S15" s="25">
        <f>IF(A15="","",IF(I15&lt;&gt;"Activo","Soporte no disponible",IF(O15="Sí","Asignado a "&amp;P15,IF(R15="Preparada","",IF(R15="Cargar","Recargar antes de asignar",IF(R15="Pendiente de descarga","Comprobar la descarga antes de borrar",IF(R15="Pendiente de borrado","Borrar después de verificar la descarga",IF(R15="Liberar espacio","Espacio libre inferior al mínimo","Completar la revisión"))))))))</f>
        <v/>
      </c>
      <c r="T15" s="26" t="n"/>
    </row>
    <row r="16" ht="22" customHeight="1">
      <c r="A16" s="20" t="n"/>
      <c r="B16" s="20" t="n"/>
      <c r="C16" s="20" t="n"/>
      <c r="D16" s="20" t="n"/>
      <c r="E16" s="20" t="n"/>
      <c r="F16" s="20" t="n"/>
      <c r="G16" s="21" t="n"/>
      <c r="H16" s="20" t="n"/>
      <c r="I16" s="20" t="n"/>
      <c r="J16" s="20" t="n"/>
      <c r="K16" s="21" t="n"/>
      <c r="L16" s="20" t="n"/>
      <c r="M16" s="20" t="n"/>
      <c r="N16" s="22" t="n"/>
      <c r="O16" s="23">
        <f>IF(A16="","",IF(COUNTIFS(tblControl[ID del soporte],A16,tblControl[Estado del control],"Abierto")&gt;0,"Sí","No"))</f>
        <v/>
      </c>
      <c r="P16" s="23">
        <f>IF(A16="","",IFERROR(_xlfn.XLOOKUP(1,(tblControl[ID del soporte]=A16)*(tblControl[Estado del control]="Abierto"),tblControl[ID de sesión],"",0,-1),""))</f>
        <v/>
      </c>
      <c r="Q16" s="24">
        <f>IF(A16="","",IF(B16&lt;&gt;"Tarjeta","",IFERROR(K16/G16,"")))</f>
        <v/>
      </c>
      <c r="R16" s="23">
        <f>IF(A16="","",IF(I16&lt;&gt;"Activo","No disponible",IF(O16="Sí","Asignada",IF(B16="Batería",IF(J16="","Sin revisar",IF(J16&lt;Resumen!$C$3,"Cargar","Preparada")),IF(B16="Tarjeta",IF(OR(G16="",K16=""),"Sin revisar",IF(L16="No","Pendiente de descarga",IF(M16="No","Pendiente de borrado",IF(Q16&lt;Resumen!$C$4,"Liberar espacio","Preparada")))),"Revisar tipo")))))</f>
        <v/>
      </c>
      <c r="S16" s="25">
        <f>IF(A16="","",IF(I16&lt;&gt;"Activo","Soporte no disponible",IF(O16="Sí","Asignado a "&amp;P16,IF(R16="Preparada","",IF(R16="Cargar","Recargar antes de asignar",IF(R16="Pendiente de descarga","Comprobar la descarga antes de borrar",IF(R16="Pendiente de borrado","Borrar después de verificar la descarga",IF(R16="Liberar espacio","Espacio libre inferior al mínimo","Completar la revisión"))))))))</f>
        <v/>
      </c>
      <c r="T16" s="26" t="n"/>
    </row>
    <row r="17" ht="22" customHeight="1">
      <c r="A17" s="20" t="n"/>
      <c r="B17" s="20" t="n"/>
      <c r="C17" s="20" t="n"/>
      <c r="D17" s="20" t="n"/>
      <c r="E17" s="20" t="n"/>
      <c r="F17" s="20" t="n"/>
      <c r="G17" s="21" t="n"/>
      <c r="H17" s="20" t="n"/>
      <c r="I17" s="20" t="n"/>
      <c r="J17" s="20" t="n"/>
      <c r="K17" s="21" t="n"/>
      <c r="L17" s="20" t="n"/>
      <c r="M17" s="20" t="n"/>
      <c r="N17" s="22" t="n"/>
      <c r="O17" s="23">
        <f>IF(A17="","",IF(COUNTIFS(tblControl[ID del soporte],A17,tblControl[Estado del control],"Abierto")&gt;0,"Sí","No"))</f>
        <v/>
      </c>
      <c r="P17" s="23">
        <f>IF(A17="","",IFERROR(_xlfn.XLOOKUP(1,(tblControl[ID del soporte]=A17)*(tblControl[Estado del control]="Abierto"),tblControl[ID de sesión],"",0,-1),""))</f>
        <v/>
      </c>
      <c r="Q17" s="24">
        <f>IF(A17="","",IF(B17&lt;&gt;"Tarjeta","",IFERROR(K17/G17,"")))</f>
        <v/>
      </c>
      <c r="R17" s="23">
        <f>IF(A17="","",IF(I17&lt;&gt;"Activo","No disponible",IF(O17="Sí","Asignada",IF(B17="Batería",IF(J17="","Sin revisar",IF(J17&lt;Resumen!$C$3,"Cargar","Preparada")),IF(B17="Tarjeta",IF(OR(G17="",K17=""),"Sin revisar",IF(L17="No","Pendiente de descarga",IF(M17="No","Pendiente de borrado",IF(Q17&lt;Resumen!$C$4,"Liberar espacio","Preparada")))),"Revisar tipo")))))</f>
        <v/>
      </c>
      <c r="S17" s="25">
        <f>IF(A17="","",IF(I17&lt;&gt;"Activo","Soporte no disponible",IF(O17="Sí","Asignado a "&amp;P17,IF(R17="Preparada","",IF(R17="Cargar","Recargar antes de asignar",IF(R17="Pendiente de descarga","Comprobar la descarga antes de borrar",IF(R17="Pendiente de borrado","Borrar después de verificar la descarga",IF(R17="Liberar espacio","Espacio libre inferior al mínimo","Completar la revisión"))))))))</f>
        <v/>
      </c>
      <c r="T17" s="26" t="n"/>
    </row>
    <row r="18" ht="22" customHeight="1">
      <c r="A18" s="20" t="n"/>
      <c r="B18" s="20" t="n"/>
      <c r="C18" s="20" t="n"/>
      <c r="D18" s="20" t="n"/>
      <c r="E18" s="20" t="n"/>
      <c r="F18" s="20" t="n"/>
      <c r="G18" s="21" t="n"/>
      <c r="H18" s="20" t="n"/>
      <c r="I18" s="20" t="n"/>
      <c r="J18" s="20" t="n"/>
      <c r="K18" s="21" t="n"/>
      <c r="L18" s="20" t="n"/>
      <c r="M18" s="20" t="n"/>
      <c r="N18" s="22" t="n"/>
      <c r="O18" s="23">
        <f>IF(A18="","",IF(COUNTIFS(tblControl[ID del soporte],A18,tblControl[Estado del control],"Abierto")&gt;0,"Sí","No"))</f>
        <v/>
      </c>
      <c r="P18" s="23">
        <f>IF(A18="","",IFERROR(_xlfn.XLOOKUP(1,(tblControl[ID del soporte]=A18)*(tblControl[Estado del control]="Abierto"),tblControl[ID de sesión],"",0,-1),""))</f>
        <v/>
      </c>
      <c r="Q18" s="24">
        <f>IF(A18="","",IF(B18&lt;&gt;"Tarjeta","",IFERROR(K18/G18,"")))</f>
        <v/>
      </c>
      <c r="R18" s="23">
        <f>IF(A18="","",IF(I18&lt;&gt;"Activo","No disponible",IF(O18="Sí","Asignada",IF(B18="Batería",IF(J18="","Sin revisar",IF(J18&lt;Resumen!$C$3,"Cargar","Preparada")),IF(B18="Tarjeta",IF(OR(G18="",K18=""),"Sin revisar",IF(L18="No","Pendiente de descarga",IF(M18="No","Pendiente de borrado",IF(Q18&lt;Resumen!$C$4,"Liberar espacio","Preparada")))),"Revisar tipo")))))</f>
        <v/>
      </c>
      <c r="S18" s="25">
        <f>IF(A18="","",IF(I18&lt;&gt;"Activo","Soporte no disponible",IF(O18="Sí","Asignado a "&amp;P18,IF(R18="Preparada","",IF(R18="Cargar","Recargar antes de asignar",IF(R18="Pendiente de descarga","Comprobar la descarga antes de borrar",IF(R18="Pendiente de borrado","Borrar después de verificar la descarga",IF(R18="Liberar espacio","Espacio libre inferior al mínimo","Completar la revisión"))))))))</f>
        <v/>
      </c>
      <c r="T18" s="26" t="n"/>
    </row>
    <row r="19" ht="22" customHeight="1">
      <c r="A19" s="20" t="n"/>
      <c r="B19" s="20" t="n"/>
      <c r="C19" s="20" t="n"/>
      <c r="D19" s="20" t="n"/>
      <c r="E19" s="20" t="n"/>
      <c r="F19" s="20" t="n"/>
      <c r="G19" s="21" t="n"/>
      <c r="H19" s="20" t="n"/>
      <c r="I19" s="20" t="n"/>
      <c r="J19" s="20" t="n"/>
      <c r="K19" s="21" t="n"/>
      <c r="L19" s="20" t="n"/>
      <c r="M19" s="20" t="n"/>
      <c r="N19" s="22" t="n"/>
      <c r="O19" s="23">
        <f>IF(A19="","",IF(COUNTIFS(tblControl[ID del soporte],A19,tblControl[Estado del control],"Abierto")&gt;0,"Sí","No"))</f>
        <v/>
      </c>
      <c r="P19" s="23">
        <f>IF(A19="","",IFERROR(_xlfn.XLOOKUP(1,(tblControl[ID del soporte]=A19)*(tblControl[Estado del control]="Abierto"),tblControl[ID de sesión],"",0,-1),""))</f>
        <v/>
      </c>
      <c r="Q19" s="24">
        <f>IF(A19="","",IF(B19&lt;&gt;"Tarjeta","",IFERROR(K19/G19,"")))</f>
        <v/>
      </c>
      <c r="R19" s="23">
        <f>IF(A19="","",IF(I19&lt;&gt;"Activo","No disponible",IF(O19="Sí","Asignada",IF(B19="Batería",IF(J19="","Sin revisar",IF(J19&lt;Resumen!$C$3,"Cargar","Preparada")),IF(B19="Tarjeta",IF(OR(G19="",K19=""),"Sin revisar",IF(L19="No","Pendiente de descarga",IF(M19="No","Pendiente de borrado",IF(Q19&lt;Resumen!$C$4,"Liberar espacio","Preparada")))),"Revisar tipo")))))</f>
        <v/>
      </c>
      <c r="S19" s="25">
        <f>IF(A19="","",IF(I19&lt;&gt;"Activo","Soporte no disponible",IF(O19="Sí","Asignado a "&amp;P19,IF(R19="Preparada","",IF(R19="Cargar","Recargar antes de asignar",IF(R19="Pendiente de descarga","Comprobar la descarga antes de borrar",IF(R19="Pendiente de borrado","Borrar después de verificar la descarga",IF(R19="Liberar espacio","Espacio libre inferior al mínimo","Completar la revisión"))))))))</f>
        <v/>
      </c>
      <c r="T19" s="26" t="n"/>
    </row>
    <row r="20" ht="22" customHeight="1">
      <c r="A20" s="20" t="n"/>
      <c r="B20" s="20" t="n"/>
      <c r="C20" s="20" t="n"/>
      <c r="D20" s="20" t="n"/>
      <c r="E20" s="20" t="n"/>
      <c r="F20" s="20" t="n"/>
      <c r="G20" s="21" t="n"/>
      <c r="H20" s="20" t="n"/>
      <c r="I20" s="20" t="n"/>
      <c r="J20" s="20" t="n"/>
      <c r="K20" s="21" t="n"/>
      <c r="L20" s="20" t="n"/>
      <c r="M20" s="20" t="n"/>
      <c r="N20" s="22" t="n"/>
      <c r="O20" s="23">
        <f>IF(A20="","",IF(COUNTIFS(tblControl[ID del soporte],A20,tblControl[Estado del control],"Abierto")&gt;0,"Sí","No"))</f>
        <v/>
      </c>
      <c r="P20" s="23">
        <f>IF(A20="","",IFERROR(_xlfn.XLOOKUP(1,(tblControl[ID del soporte]=A20)*(tblControl[Estado del control]="Abierto"),tblControl[ID de sesión],"",0,-1),""))</f>
        <v/>
      </c>
      <c r="Q20" s="24">
        <f>IF(A20="","",IF(B20&lt;&gt;"Tarjeta","",IFERROR(K20/G20,"")))</f>
        <v/>
      </c>
      <c r="R20" s="23">
        <f>IF(A20="","",IF(I20&lt;&gt;"Activo","No disponible",IF(O20="Sí","Asignada",IF(B20="Batería",IF(J20="","Sin revisar",IF(J20&lt;Resumen!$C$3,"Cargar","Preparada")),IF(B20="Tarjeta",IF(OR(G20="",K20=""),"Sin revisar",IF(L20="No","Pendiente de descarga",IF(M20="No","Pendiente de borrado",IF(Q20&lt;Resumen!$C$4,"Liberar espacio","Preparada")))),"Revisar tipo")))))</f>
        <v/>
      </c>
      <c r="S20" s="25">
        <f>IF(A20="","",IF(I20&lt;&gt;"Activo","Soporte no disponible",IF(O20="Sí","Asignado a "&amp;P20,IF(R20="Preparada","",IF(R20="Cargar","Recargar antes de asignar",IF(R20="Pendiente de descarga","Comprobar la descarga antes de borrar",IF(R20="Pendiente de borrado","Borrar después de verificar la descarga",IF(R20="Liberar espacio","Espacio libre inferior al mínimo","Completar la revisión"))))))))</f>
        <v/>
      </c>
      <c r="T20" s="26" t="n"/>
    </row>
    <row r="21" ht="22" customHeight="1">
      <c r="A21" s="20" t="n"/>
      <c r="B21" s="20" t="n"/>
      <c r="C21" s="20" t="n"/>
      <c r="D21" s="20" t="n"/>
      <c r="E21" s="20" t="n"/>
      <c r="F21" s="20" t="n"/>
      <c r="G21" s="21" t="n"/>
      <c r="H21" s="20" t="n"/>
      <c r="I21" s="20" t="n"/>
      <c r="J21" s="20" t="n"/>
      <c r="K21" s="21" t="n"/>
      <c r="L21" s="20" t="n"/>
      <c r="M21" s="20" t="n"/>
      <c r="N21" s="22" t="n"/>
      <c r="O21" s="23">
        <f>IF(A21="","",IF(COUNTIFS(tblControl[ID del soporte],A21,tblControl[Estado del control],"Abierto")&gt;0,"Sí","No"))</f>
        <v/>
      </c>
      <c r="P21" s="23">
        <f>IF(A21="","",IFERROR(_xlfn.XLOOKUP(1,(tblControl[ID del soporte]=A21)*(tblControl[Estado del control]="Abierto"),tblControl[ID de sesión],"",0,-1),""))</f>
        <v/>
      </c>
      <c r="Q21" s="24">
        <f>IF(A21="","",IF(B21&lt;&gt;"Tarjeta","",IFERROR(K21/G21,"")))</f>
        <v/>
      </c>
      <c r="R21" s="23">
        <f>IF(A21="","",IF(I21&lt;&gt;"Activo","No disponible",IF(O21="Sí","Asignada",IF(B21="Batería",IF(J21="","Sin revisar",IF(J21&lt;Resumen!$C$3,"Cargar","Preparada")),IF(B21="Tarjeta",IF(OR(G21="",K21=""),"Sin revisar",IF(L21="No","Pendiente de descarga",IF(M21="No","Pendiente de borrado",IF(Q21&lt;Resumen!$C$4,"Liberar espacio","Preparada")))),"Revisar tipo")))))</f>
        <v/>
      </c>
      <c r="S21" s="25">
        <f>IF(A21="","",IF(I21&lt;&gt;"Activo","Soporte no disponible",IF(O21="Sí","Asignado a "&amp;P21,IF(R21="Preparada","",IF(R21="Cargar","Recargar antes de asignar",IF(R21="Pendiente de descarga","Comprobar la descarga antes de borrar",IF(R21="Pendiente de borrado","Borrar después de verificar la descarga",IF(R21="Liberar espacio","Espacio libre inferior al mínimo","Completar la revisión"))))))))</f>
        <v/>
      </c>
      <c r="T21" s="26" t="n"/>
    </row>
    <row r="22" ht="22" customHeight="1">
      <c r="A22" s="20" t="n"/>
      <c r="B22" s="20" t="n"/>
      <c r="C22" s="20" t="n"/>
      <c r="D22" s="20" t="n"/>
      <c r="E22" s="20" t="n"/>
      <c r="F22" s="20" t="n"/>
      <c r="G22" s="21" t="n"/>
      <c r="H22" s="20" t="n"/>
      <c r="I22" s="20" t="n"/>
      <c r="J22" s="20" t="n"/>
      <c r="K22" s="21" t="n"/>
      <c r="L22" s="20" t="n"/>
      <c r="M22" s="20" t="n"/>
      <c r="N22" s="22" t="n"/>
      <c r="O22" s="23">
        <f>IF(A22="","",IF(COUNTIFS(tblControl[ID del soporte],A22,tblControl[Estado del control],"Abierto")&gt;0,"Sí","No"))</f>
        <v/>
      </c>
      <c r="P22" s="23">
        <f>IF(A22="","",IFERROR(_xlfn.XLOOKUP(1,(tblControl[ID del soporte]=A22)*(tblControl[Estado del control]="Abierto"),tblControl[ID de sesión],"",0,-1),""))</f>
        <v/>
      </c>
      <c r="Q22" s="24">
        <f>IF(A22="","",IF(B22&lt;&gt;"Tarjeta","",IFERROR(K22/G22,"")))</f>
        <v/>
      </c>
      <c r="R22" s="23">
        <f>IF(A22="","",IF(I22&lt;&gt;"Activo","No disponible",IF(O22="Sí","Asignada",IF(B22="Batería",IF(J22="","Sin revisar",IF(J22&lt;Resumen!$C$3,"Cargar","Preparada")),IF(B22="Tarjeta",IF(OR(G22="",K22=""),"Sin revisar",IF(L22="No","Pendiente de descarga",IF(M22="No","Pendiente de borrado",IF(Q22&lt;Resumen!$C$4,"Liberar espacio","Preparada")))),"Revisar tipo")))))</f>
        <v/>
      </c>
      <c r="S22" s="25">
        <f>IF(A22="","",IF(I22&lt;&gt;"Activo","Soporte no disponible",IF(O22="Sí","Asignado a "&amp;P22,IF(R22="Preparada","",IF(R22="Cargar","Recargar antes de asignar",IF(R22="Pendiente de descarga","Comprobar la descarga antes de borrar",IF(R22="Pendiente de borrado","Borrar después de verificar la descarga",IF(R22="Liberar espacio","Espacio libre inferior al mínimo","Completar la revisión"))))))))</f>
        <v/>
      </c>
      <c r="T22" s="26" t="n"/>
    </row>
    <row r="23" ht="22" customHeight="1">
      <c r="A23" s="20" t="n"/>
      <c r="B23" s="20" t="n"/>
      <c r="C23" s="20" t="n"/>
      <c r="D23" s="20" t="n"/>
      <c r="E23" s="20" t="n"/>
      <c r="F23" s="20" t="n"/>
      <c r="G23" s="21" t="n"/>
      <c r="H23" s="20" t="n"/>
      <c r="I23" s="20" t="n"/>
      <c r="J23" s="20" t="n"/>
      <c r="K23" s="21" t="n"/>
      <c r="L23" s="20" t="n"/>
      <c r="M23" s="20" t="n"/>
      <c r="N23" s="22" t="n"/>
      <c r="O23" s="23">
        <f>IF(A23="","",IF(COUNTIFS(tblControl[ID del soporte],A23,tblControl[Estado del control],"Abierto")&gt;0,"Sí","No"))</f>
        <v/>
      </c>
      <c r="P23" s="23">
        <f>IF(A23="","",IFERROR(_xlfn.XLOOKUP(1,(tblControl[ID del soporte]=A23)*(tblControl[Estado del control]="Abierto"),tblControl[ID de sesión],"",0,-1),""))</f>
        <v/>
      </c>
      <c r="Q23" s="24">
        <f>IF(A23="","",IF(B23&lt;&gt;"Tarjeta","",IFERROR(K23/G23,"")))</f>
        <v/>
      </c>
      <c r="R23" s="23">
        <f>IF(A23="","",IF(I23&lt;&gt;"Activo","No disponible",IF(O23="Sí","Asignada",IF(B23="Batería",IF(J23="","Sin revisar",IF(J23&lt;Resumen!$C$3,"Cargar","Preparada")),IF(B23="Tarjeta",IF(OR(G23="",K23=""),"Sin revisar",IF(L23="No","Pendiente de descarga",IF(M23="No","Pendiente de borrado",IF(Q23&lt;Resumen!$C$4,"Liberar espacio","Preparada")))),"Revisar tipo")))))</f>
        <v/>
      </c>
      <c r="S23" s="25">
        <f>IF(A23="","",IF(I23&lt;&gt;"Activo","Soporte no disponible",IF(O23="Sí","Asignado a "&amp;P23,IF(R23="Preparada","",IF(R23="Cargar","Recargar antes de asignar",IF(R23="Pendiente de descarga","Comprobar la descarga antes de borrar",IF(R23="Pendiente de borrado","Borrar después de verificar la descarga",IF(R23="Liberar espacio","Espacio libre inferior al mínimo","Completar la revisión"))))))))</f>
        <v/>
      </c>
      <c r="T23" s="26" t="n"/>
    </row>
    <row r="24" ht="22" customHeight="1">
      <c r="A24" s="20" t="n"/>
      <c r="B24" s="20" t="n"/>
      <c r="C24" s="20" t="n"/>
      <c r="D24" s="20" t="n"/>
      <c r="E24" s="20" t="n"/>
      <c r="F24" s="20" t="n"/>
      <c r="G24" s="21" t="n"/>
      <c r="H24" s="20" t="n"/>
      <c r="I24" s="20" t="n"/>
      <c r="J24" s="20" t="n"/>
      <c r="K24" s="21" t="n"/>
      <c r="L24" s="20" t="n"/>
      <c r="M24" s="20" t="n"/>
      <c r="N24" s="22" t="n"/>
      <c r="O24" s="23">
        <f>IF(A24="","",IF(COUNTIFS(tblControl[ID del soporte],A24,tblControl[Estado del control],"Abierto")&gt;0,"Sí","No"))</f>
        <v/>
      </c>
      <c r="P24" s="23">
        <f>IF(A24="","",IFERROR(_xlfn.XLOOKUP(1,(tblControl[ID del soporte]=A24)*(tblControl[Estado del control]="Abierto"),tblControl[ID de sesión],"",0,-1),""))</f>
        <v/>
      </c>
      <c r="Q24" s="24">
        <f>IF(A24="","",IF(B24&lt;&gt;"Tarjeta","",IFERROR(K24/G24,"")))</f>
        <v/>
      </c>
      <c r="R24" s="23">
        <f>IF(A24="","",IF(I24&lt;&gt;"Activo","No disponible",IF(O24="Sí","Asignada",IF(B24="Batería",IF(J24="","Sin revisar",IF(J24&lt;Resumen!$C$3,"Cargar","Preparada")),IF(B24="Tarjeta",IF(OR(G24="",K24=""),"Sin revisar",IF(L24="No","Pendiente de descarga",IF(M24="No","Pendiente de borrado",IF(Q24&lt;Resumen!$C$4,"Liberar espacio","Preparada")))),"Revisar tipo")))))</f>
        <v/>
      </c>
      <c r="S24" s="25">
        <f>IF(A24="","",IF(I24&lt;&gt;"Activo","Soporte no disponible",IF(O24="Sí","Asignado a "&amp;P24,IF(R24="Preparada","",IF(R24="Cargar","Recargar antes de asignar",IF(R24="Pendiente de descarga","Comprobar la descarga antes de borrar",IF(R24="Pendiente de borrado","Borrar después de verificar la descarga",IF(R24="Liberar espacio","Espacio libre inferior al mínimo","Completar la revisión"))))))))</f>
        <v/>
      </c>
      <c r="T24" s="26" t="n"/>
    </row>
    <row r="25" ht="22" customHeight="1">
      <c r="A25" s="20" t="n"/>
      <c r="B25" s="20" t="n"/>
      <c r="C25" s="20" t="n"/>
      <c r="D25" s="20" t="n"/>
      <c r="E25" s="20" t="n"/>
      <c r="F25" s="20" t="n"/>
      <c r="G25" s="21" t="n"/>
      <c r="H25" s="20" t="n"/>
      <c r="I25" s="20" t="n"/>
      <c r="J25" s="20" t="n"/>
      <c r="K25" s="21" t="n"/>
      <c r="L25" s="20" t="n"/>
      <c r="M25" s="20" t="n"/>
      <c r="N25" s="22" t="n"/>
      <c r="O25" s="23">
        <f>IF(A25="","",IF(COUNTIFS(tblControl[ID del soporte],A25,tblControl[Estado del control],"Abierto")&gt;0,"Sí","No"))</f>
        <v/>
      </c>
      <c r="P25" s="23">
        <f>IF(A25="","",IFERROR(_xlfn.XLOOKUP(1,(tblControl[ID del soporte]=A25)*(tblControl[Estado del control]="Abierto"),tblControl[ID de sesión],"",0,-1),""))</f>
        <v/>
      </c>
      <c r="Q25" s="24">
        <f>IF(A25="","",IF(B25&lt;&gt;"Tarjeta","",IFERROR(K25/G25,"")))</f>
        <v/>
      </c>
      <c r="R25" s="23">
        <f>IF(A25="","",IF(I25&lt;&gt;"Activo","No disponible",IF(O25="Sí","Asignada",IF(B25="Batería",IF(J25="","Sin revisar",IF(J25&lt;Resumen!$C$3,"Cargar","Preparada")),IF(B25="Tarjeta",IF(OR(G25="",K25=""),"Sin revisar",IF(L25="No","Pendiente de descarga",IF(M25="No","Pendiente de borrado",IF(Q25&lt;Resumen!$C$4,"Liberar espacio","Preparada")))),"Revisar tipo")))))</f>
        <v/>
      </c>
      <c r="S25" s="25">
        <f>IF(A25="","",IF(I25&lt;&gt;"Activo","Soporte no disponible",IF(O25="Sí","Asignado a "&amp;P25,IF(R25="Preparada","",IF(R25="Cargar","Recargar antes de asignar",IF(R25="Pendiente de descarga","Comprobar la descarga antes de borrar",IF(R25="Pendiente de borrado","Borrar después de verificar la descarga",IF(R25="Liberar espacio","Espacio libre inferior al mínimo","Completar la revisión"))))))))</f>
        <v/>
      </c>
      <c r="T25" s="26" t="n"/>
    </row>
    <row r="26" ht="22" customHeight="1">
      <c r="A26" s="20" t="n"/>
      <c r="B26" s="20" t="n"/>
      <c r="C26" s="20" t="n"/>
      <c r="D26" s="20" t="n"/>
      <c r="E26" s="20" t="n"/>
      <c r="F26" s="20" t="n"/>
      <c r="G26" s="21" t="n"/>
      <c r="H26" s="20" t="n"/>
      <c r="I26" s="20" t="n"/>
      <c r="J26" s="20" t="n"/>
      <c r="K26" s="21" t="n"/>
      <c r="L26" s="20" t="n"/>
      <c r="M26" s="20" t="n"/>
      <c r="N26" s="22" t="n"/>
      <c r="O26" s="23">
        <f>IF(A26="","",IF(COUNTIFS(tblControl[ID del soporte],A26,tblControl[Estado del control],"Abierto")&gt;0,"Sí","No"))</f>
        <v/>
      </c>
      <c r="P26" s="23">
        <f>IF(A26="","",IFERROR(_xlfn.XLOOKUP(1,(tblControl[ID del soporte]=A26)*(tblControl[Estado del control]="Abierto"),tblControl[ID de sesión],"",0,-1),""))</f>
        <v/>
      </c>
      <c r="Q26" s="24">
        <f>IF(A26="","",IF(B26&lt;&gt;"Tarjeta","",IFERROR(K26/G26,"")))</f>
        <v/>
      </c>
      <c r="R26" s="23">
        <f>IF(A26="","",IF(I26&lt;&gt;"Activo","No disponible",IF(O26="Sí","Asignada",IF(B26="Batería",IF(J26="","Sin revisar",IF(J26&lt;Resumen!$C$3,"Cargar","Preparada")),IF(B26="Tarjeta",IF(OR(G26="",K26=""),"Sin revisar",IF(L26="No","Pendiente de descarga",IF(M26="No","Pendiente de borrado",IF(Q26&lt;Resumen!$C$4,"Liberar espacio","Preparada")))),"Revisar tipo")))))</f>
        <v/>
      </c>
      <c r="S26" s="25">
        <f>IF(A26="","",IF(I26&lt;&gt;"Activo","Soporte no disponible",IF(O26="Sí","Asignado a "&amp;P26,IF(R26="Preparada","",IF(R26="Cargar","Recargar antes de asignar",IF(R26="Pendiente de descarga","Comprobar la descarga antes de borrar",IF(R26="Pendiente de borrado","Borrar después de verificar la descarga",IF(R26="Liberar espacio","Espacio libre inferior al mínimo","Completar la revisión"))))))))</f>
        <v/>
      </c>
      <c r="T26" s="26" t="n"/>
    </row>
    <row r="27" ht="22" customHeight="1">
      <c r="A27" s="20" t="n"/>
      <c r="B27" s="20" t="n"/>
      <c r="C27" s="20" t="n"/>
      <c r="D27" s="20" t="n"/>
      <c r="E27" s="20" t="n"/>
      <c r="F27" s="20" t="n"/>
      <c r="G27" s="21" t="n"/>
      <c r="H27" s="20" t="n"/>
      <c r="I27" s="20" t="n"/>
      <c r="J27" s="20" t="n"/>
      <c r="K27" s="21" t="n"/>
      <c r="L27" s="20" t="n"/>
      <c r="M27" s="20" t="n"/>
      <c r="N27" s="22" t="n"/>
      <c r="O27" s="23">
        <f>IF(A27="","",IF(COUNTIFS(tblControl[ID del soporte],A27,tblControl[Estado del control],"Abierto")&gt;0,"Sí","No"))</f>
        <v/>
      </c>
      <c r="P27" s="23">
        <f>IF(A27="","",IFERROR(_xlfn.XLOOKUP(1,(tblControl[ID del soporte]=A27)*(tblControl[Estado del control]="Abierto"),tblControl[ID de sesión],"",0,-1),""))</f>
        <v/>
      </c>
      <c r="Q27" s="24">
        <f>IF(A27="","",IF(B27&lt;&gt;"Tarjeta","",IFERROR(K27/G27,"")))</f>
        <v/>
      </c>
      <c r="R27" s="23">
        <f>IF(A27="","",IF(I27&lt;&gt;"Activo","No disponible",IF(O27="Sí","Asignada",IF(B27="Batería",IF(J27="","Sin revisar",IF(J27&lt;Resumen!$C$3,"Cargar","Preparada")),IF(B27="Tarjeta",IF(OR(G27="",K27=""),"Sin revisar",IF(L27="No","Pendiente de descarga",IF(M27="No","Pendiente de borrado",IF(Q27&lt;Resumen!$C$4,"Liberar espacio","Preparada")))),"Revisar tipo")))))</f>
        <v/>
      </c>
      <c r="S27" s="25">
        <f>IF(A27="","",IF(I27&lt;&gt;"Activo","Soporte no disponible",IF(O27="Sí","Asignado a "&amp;P27,IF(R27="Preparada","",IF(R27="Cargar","Recargar antes de asignar",IF(R27="Pendiente de descarga","Comprobar la descarga antes de borrar",IF(R27="Pendiente de borrado","Borrar después de verificar la descarga",IF(R27="Liberar espacio","Espacio libre inferior al mínimo","Completar la revisión"))))))))</f>
        <v/>
      </c>
      <c r="T27" s="26" t="n"/>
    </row>
    <row r="28" ht="22" customHeight="1">
      <c r="A28" s="20" t="n"/>
      <c r="B28" s="20" t="n"/>
      <c r="C28" s="20" t="n"/>
      <c r="D28" s="20" t="n"/>
      <c r="E28" s="20" t="n"/>
      <c r="F28" s="20" t="n"/>
      <c r="G28" s="21" t="n"/>
      <c r="H28" s="20" t="n"/>
      <c r="I28" s="20" t="n"/>
      <c r="J28" s="20" t="n"/>
      <c r="K28" s="21" t="n"/>
      <c r="L28" s="20" t="n"/>
      <c r="M28" s="20" t="n"/>
      <c r="N28" s="22" t="n"/>
      <c r="O28" s="23">
        <f>IF(A28="","",IF(COUNTIFS(tblControl[ID del soporte],A28,tblControl[Estado del control],"Abierto")&gt;0,"Sí","No"))</f>
        <v/>
      </c>
      <c r="P28" s="23">
        <f>IF(A28="","",IFERROR(_xlfn.XLOOKUP(1,(tblControl[ID del soporte]=A28)*(tblControl[Estado del control]="Abierto"),tblControl[ID de sesión],"",0,-1),""))</f>
        <v/>
      </c>
      <c r="Q28" s="24">
        <f>IF(A28="","",IF(B28&lt;&gt;"Tarjeta","",IFERROR(K28/G28,"")))</f>
        <v/>
      </c>
      <c r="R28" s="23">
        <f>IF(A28="","",IF(I28&lt;&gt;"Activo","No disponible",IF(O28="Sí","Asignada",IF(B28="Batería",IF(J28="","Sin revisar",IF(J28&lt;Resumen!$C$3,"Cargar","Preparada")),IF(B28="Tarjeta",IF(OR(G28="",K28=""),"Sin revisar",IF(L28="No","Pendiente de descarga",IF(M28="No","Pendiente de borrado",IF(Q28&lt;Resumen!$C$4,"Liberar espacio","Preparada")))),"Revisar tipo")))))</f>
        <v/>
      </c>
      <c r="S28" s="25">
        <f>IF(A28="","",IF(I28&lt;&gt;"Activo","Soporte no disponible",IF(O28="Sí","Asignado a "&amp;P28,IF(R28="Preparada","",IF(R28="Cargar","Recargar antes de asignar",IF(R28="Pendiente de descarga","Comprobar la descarga antes de borrar",IF(R28="Pendiente de borrado","Borrar después de verificar la descarga",IF(R28="Liberar espacio","Espacio libre inferior al mínimo","Completar la revisión"))))))))</f>
        <v/>
      </c>
      <c r="T28" s="26" t="n"/>
    </row>
    <row r="29" ht="22" customHeight="1">
      <c r="A29" s="20" t="n"/>
      <c r="B29" s="20" t="n"/>
      <c r="C29" s="20" t="n"/>
      <c r="D29" s="20" t="n"/>
      <c r="E29" s="20" t="n"/>
      <c r="F29" s="20" t="n"/>
      <c r="G29" s="21" t="n"/>
      <c r="H29" s="20" t="n"/>
      <c r="I29" s="20" t="n"/>
      <c r="J29" s="20" t="n"/>
      <c r="K29" s="21" t="n"/>
      <c r="L29" s="20" t="n"/>
      <c r="M29" s="20" t="n"/>
      <c r="N29" s="22" t="n"/>
      <c r="O29" s="23">
        <f>IF(A29="","",IF(COUNTIFS(tblControl[ID del soporte],A29,tblControl[Estado del control],"Abierto")&gt;0,"Sí","No"))</f>
        <v/>
      </c>
      <c r="P29" s="23">
        <f>IF(A29="","",IFERROR(_xlfn.XLOOKUP(1,(tblControl[ID del soporte]=A29)*(tblControl[Estado del control]="Abierto"),tblControl[ID de sesión],"",0,-1),""))</f>
        <v/>
      </c>
      <c r="Q29" s="24">
        <f>IF(A29="","",IF(B29&lt;&gt;"Tarjeta","",IFERROR(K29/G29,"")))</f>
        <v/>
      </c>
      <c r="R29" s="23">
        <f>IF(A29="","",IF(I29&lt;&gt;"Activo","No disponible",IF(O29="Sí","Asignada",IF(B29="Batería",IF(J29="","Sin revisar",IF(J29&lt;Resumen!$C$3,"Cargar","Preparada")),IF(B29="Tarjeta",IF(OR(G29="",K29=""),"Sin revisar",IF(L29="No","Pendiente de descarga",IF(M29="No","Pendiente de borrado",IF(Q29&lt;Resumen!$C$4,"Liberar espacio","Preparada")))),"Revisar tipo")))))</f>
        <v/>
      </c>
      <c r="S29" s="25">
        <f>IF(A29="","",IF(I29&lt;&gt;"Activo","Soporte no disponible",IF(O29="Sí","Asignado a "&amp;P29,IF(R29="Preparada","",IF(R29="Cargar","Recargar antes de asignar",IF(R29="Pendiente de descarga","Comprobar la descarga antes de borrar",IF(R29="Pendiente de borrado","Borrar después de verificar la descarga",IF(R29="Liberar espacio","Espacio libre inferior al mínimo","Completar la revisión"))))))))</f>
        <v/>
      </c>
      <c r="T29" s="26" t="n"/>
    </row>
    <row r="30" ht="22" customHeight="1">
      <c r="A30" s="20" t="n"/>
      <c r="B30" s="20" t="n"/>
      <c r="C30" s="20" t="n"/>
      <c r="D30" s="20" t="n"/>
      <c r="E30" s="20" t="n"/>
      <c r="F30" s="20" t="n"/>
      <c r="G30" s="21" t="n"/>
      <c r="H30" s="20" t="n"/>
      <c r="I30" s="20" t="n"/>
      <c r="J30" s="20" t="n"/>
      <c r="K30" s="21" t="n"/>
      <c r="L30" s="20" t="n"/>
      <c r="M30" s="20" t="n"/>
      <c r="N30" s="22" t="n"/>
      <c r="O30" s="23">
        <f>IF(A30="","",IF(COUNTIFS(tblControl[ID del soporte],A30,tblControl[Estado del control],"Abierto")&gt;0,"Sí","No"))</f>
        <v/>
      </c>
      <c r="P30" s="23">
        <f>IF(A30="","",IFERROR(_xlfn.XLOOKUP(1,(tblControl[ID del soporte]=A30)*(tblControl[Estado del control]="Abierto"),tblControl[ID de sesión],"",0,-1),""))</f>
        <v/>
      </c>
      <c r="Q30" s="24">
        <f>IF(A30="","",IF(B30&lt;&gt;"Tarjeta","",IFERROR(K30/G30,"")))</f>
        <v/>
      </c>
      <c r="R30" s="23">
        <f>IF(A30="","",IF(I30&lt;&gt;"Activo","No disponible",IF(O30="Sí","Asignada",IF(B30="Batería",IF(J30="","Sin revisar",IF(J30&lt;Resumen!$C$3,"Cargar","Preparada")),IF(B30="Tarjeta",IF(OR(G30="",K30=""),"Sin revisar",IF(L30="No","Pendiente de descarga",IF(M30="No","Pendiente de borrado",IF(Q30&lt;Resumen!$C$4,"Liberar espacio","Preparada")))),"Revisar tipo")))))</f>
        <v/>
      </c>
      <c r="S30" s="25">
        <f>IF(A30="","",IF(I30&lt;&gt;"Activo","Soporte no disponible",IF(O30="Sí","Asignado a "&amp;P30,IF(R30="Preparada","",IF(R30="Cargar","Recargar antes de asignar",IF(R30="Pendiente de descarga","Comprobar la descarga antes de borrar",IF(R30="Pendiente de borrado","Borrar después de verificar la descarga",IF(R30="Liberar espacio","Espacio libre inferior al mínimo","Completar la revisión"))))))))</f>
        <v/>
      </c>
      <c r="T30" s="26" t="n"/>
    </row>
    <row r="31" ht="22" customHeight="1">
      <c r="A31" s="20" t="n"/>
      <c r="B31" s="20" t="n"/>
      <c r="C31" s="20" t="n"/>
      <c r="D31" s="20" t="n"/>
      <c r="E31" s="20" t="n"/>
      <c r="F31" s="20" t="n"/>
      <c r="G31" s="21" t="n"/>
      <c r="H31" s="20" t="n"/>
      <c r="I31" s="20" t="n"/>
      <c r="J31" s="20" t="n"/>
      <c r="K31" s="21" t="n"/>
      <c r="L31" s="20" t="n"/>
      <c r="M31" s="20" t="n"/>
      <c r="N31" s="22" t="n"/>
      <c r="O31" s="23">
        <f>IF(A31="","",IF(COUNTIFS(tblControl[ID del soporte],A31,tblControl[Estado del control],"Abierto")&gt;0,"Sí","No"))</f>
        <v/>
      </c>
      <c r="P31" s="23">
        <f>IF(A31="","",IFERROR(_xlfn.XLOOKUP(1,(tblControl[ID del soporte]=A31)*(tblControl[Estado del control]="Abierto"),tblControl[ID de sesión],"",0,-1),""))</f>
        <v/>
      </c>
      <c r="Q31" s="24">
        <f>IF(A31="","",IF(B31&lt;&gt;"Tarjeta","",IFERROR(K31/G31,"")))</f>
        <v/>
      </c>
      <c r="R31" s="23">
        <f>IF(A31="","",IF(I31&lt;&gt;"Activo","No disponible",IF(O31="Sí","Asignada",IF(B31="Batería",IF(J31="","Sin revisar",IF(J31&lt;Resumen!$C$3,"Cargar","Preparada")),IF(B31="Tarjeta",IF(OR(G31="",K31=""),"Sin revisar",IF(L31="No","Pendiente de descarga",IF(M31="No","Pendiente de borrado",IF(Q31&lt;Resumen!$C$4,"Liberar espacio","Preparada")))),"Revisar tipo")))))</f>
        <v/>
      </c>
      <c r="S31" s="25">
        <f>IF(A31="","",IF(I31&lt;&gt;"Activo","Soporte no disponible",IF(O31="Sí","Asignado a "&amp;P31,IF(R31="Preparada","",IF(R31="Cargar","Recargar antes de asignar",IF(R31="Pendiente de descarga","Comprobar la descarga antes de borrar",IF(R31="Pendiente de borrado","Borrar después de verificar la descarga",IF(R31="Liberar espacio","Espacio libre inferior al mínimo","Completar la revisión"))))))))</f>
        <v/>
      </c>
      <c r="T31" s="26" t="n"/>
    </row>
    <row r="32" ht="22" customHeight="1">
      <c r="A32" s="20" t="n"/>
      <c r="B32" s="20" t="n"/>
      <c r="C32" s="20" t="n"/>
      <c r="D32" s="20" t="n"/>
      <c r="E32" s="20" t="n"/>
      <c r="F32" s="20" t="n"/>
      <c r="G32" s="21" t="n"/>
      <c r="H32" s="20" t="n"/>
      <c r="I32" s="20" t="n"/>
      <c r="J32" s="20" t="n"/>
      <c r="K32" s="21" t="n"/>
      <c r="L32" s="20" t="n"/>
      <c r="M32" s="20" t="n"/>
      <c r="N32" s="22" t="n"/>
      <c r="O32" s="23">
        <f>IF(A32="","",IF(COUNTIFS(tblControl[ID del soporte],A32,tblControl[Estado del control],"Abierto")&gt;0,"Sí","No"))</f>
        <v/>
      </c>
      <c r="P32" s="23">
        <f>IF(A32="","",IFERROR(_xlfn.XLOOKUP(1,(tblControl[ID del soporte]=A32)*(tblControl[Estado del control]="Abierto"),tblControl[ID de sesión],"",0,-1),""))</f>
        <v/>
      </c>
      <c r="Q32" s="24">
        <f>IF(A32="","",IF(B32&lt;&gt;"Tarjeta","",IFERROR(K32/G32,"")))</f>
        <v/>
      </c>
      <c r="R32" s="23">
        <f>IF(A32="","",IF(I32&lt;&gt;"Activo","No disponible",IF(O32="Sí","Asignada",IF(B32="Batería",IF(J32="","Sin revisar",IF(J32&lt;Resumen!$C$3,"Cargar","Preparada")),IF(B32="Tarjeta",IF(OR(G32="",K32=""),"Sin revisar",IF(L32="No","Pendiente de descarga",IF(M32="No","Pendiente de borrado",IF(Q32&lt;Resumen!$C$4,"Liberar espacio","Preparada")))),"Revisar tipo")))))</f>
        <v/>
      </c>
      <c r="S32" s="25">
        <f>IF(A32="","",IF(I32&lt;&gt;"Activo","Soporte no disponible",IF(O32="Sí","Asignado a "&amp;P32,IF(R32="Preparada","",IF(R32="Cargar","Recargar antes de asignar",IF(R32="Pendiente de descarga","Comprobar la descarga antes de borrar",IF(R32="Pendiente de borrado","Borrar después de verificar la descarga",IF(R32="Liberar espacio","Espacio libre inferior al mínimo","Completar la revisión"))))))))</f>
        <v/>
      </c>
      <c r="T32" s="26" t="n"/>
    </row>
    <row r="33" ht="22" customHeight="1">
      <c r="A33" s="20" t="n"/>
      <c r="B33" s="20" t="n"/>
      <c r="C33" s="20" t="n"/>
      <c r="D33" s="20" t="n"/>
      <c r="E33" s="20" t="n"/>
      <c r="F33" s="20" t="n"/>
      <c r="G33" s="21" t="n"/>
      <c r="H33" s="20" t="n"/>
      <c r="I33" s="20" t="n"/>
      <c r="J33" s="20" t="n"/>
      <c r="K33" s="21" t="n"/>
      <c r="L33" s="20" t="n"/>
      <c r="M33" s="20" t="n"/>
      <c r="N33" s="22" t="n"/>
      <c r="O33" s="23">
        <f>IF(A33="","",IF(COUNTIFS(tblControl[ID del soporte],A33,tblControl[Estado del control],"Abierto")&gt;0,"Sí","No"))</f>
        <v/>
      </c>
      <c r="P33" s="23">
        <f>IF(A33="","",IFERROR(_xlfn.XLOOKUP(1,(tblControl[ID del soporte]=A33)*(tblControl[Estado del control]="Abierto"),tblControl[ID de sesión],"",0,-1),""))</f>
        <v/>
      </c>
      <c r="Q33" s="24">
        <f>IF(A33="","",IF(B33&lt;&gt;"Tarjeta","",IFERROR(K33/G33,"")))</f>
        <v/>
      </c>
      <c r="R33" s="23">
        <f>IF(A33="","",IF(I33&lt;&gt;"Activo","No disponible",IF(O33="Sí","Asignada",IF(B33="Batería",IF(J33="","Sin revisar",IF(J33&lt;Resumen!$C$3,"Cargar","Preparada")),IF(B33="Tarjeta",IF(OR(G33="",K33=""),"Sin revisar",IF(L33="No","Pendiente de descarga",IF(M33="No","Pendiente de borrado",IF(Q33&lt;Resumen!$C$4,"Liberar espacio","Preparada")))),"Revisar tipo")))))</f>
        <v/>
      </c>
      <c r="S33" s="25">
        <f>IF(A33="","",IF(I33&lt;&gt;"Activo","Soporte no disponible",IF(O33="Sí","Asignado a "&amp;P33,IF(R33="Preparada","",IF(R33="Cargar","Recargar antes de asignar",IF(R33="Pendiente de descarga","Comprobar la descarga antes de borrar",IF(R33="Pendiente de borrado","Borrar después de verificar la descarga",IF(R33="Liberar espacio","Espacio libre inferior al mínimo","Completar la revisión"))))))))</f>
        <v/>
      </c>
      <c r="T33" s="26" t="n"/>
    </row>
    <row r="34" ht="22" customHeight="1">
      <c r="A34" s="20" t="n"/>
      <c r="B34" s="20" t="n"/>
      <c r="C34" s="20" t="n"/>
      <c r="D34" s="20" t="n"/>
      <c r="E34" s="20" t="n"/>
      <c r="F34" s="20" t="n"/>
      <c r="G34" s="21" t="n"/>
      <c r="H34" s="20" t="n"/>
      <c r="I34" s="20" t="n"/>
      <c r="J34" s="20" t="n"/>
      <c r="K34" s="21" t="n"/>
      <c r="L34" s="20" t="n"/>
      <c r="M34" s="20" t="n"/>
      <c r="N34" s="22" t="n"/>
      <c r="O34" s="23">
        <f>IF(A34="","",IF(COUNTIFS(tblControl[ID del soporte],A34,tblControl[Estado del control],"Abierto")&gt;0,"Sí","No"))</f>
        <v/>
      </c>
      <c r="P34" s="23">
        <f>IF(A34="","",IFERROR(_xlfn.XLOOKUP(1,(tblControl[ID del soporte]=A34)*(tblControl[Estado del control]="Abierto"),tblControl[ID de sesión],"",0,-1),""))</f>
        <v/>
      </c>
      <c r="Q34" s="24">
        <f>IF(A34="","",IF(B34&lt;&gt;"Tarjeta","",IFERROR(K34/G34,"")))</f>
        <v/>
      </c>
      <c r="R34" s="23">
        <f>IF(A34="","",IF(I34&lt;&gt;"Activo","No disponible",IF(O34="Sí","Asignada",IF(B34="Batería",IF(J34="","Sin revisar",IF(J34&lt;Resumen!$C$3,"Cargar","Preparada")),IF(B34="Tarjeta",IF(OR(G34="",K34=""),"Sin revisar",IF(L34="No","Pendiente de descarga",IF(M34="No","Pendiente de borrado",IF(Q34&lt;Resumen!$C$4,"Liberar espacio","Preparada")))),"Revisar tipo")))))</f>
        <v/>
      </c>
      <c r="S34" s="25">
        <f>IF(A34="","",IF(I34&lt;&gt;"Activo","Soporte no disponible",IF(O34="Sí","Asignado a "&amp;P34,IF(R34="Preparada","",IF(R34="Cargar","Recargar antes de asignar",IF(R34="Pendiente de descarga","Comprobar la descarga antes de borrar",IF(R34="Pendiente de borrado","Borrar después de verificar la descarga",IF(R34="Liberar espacio","Espacio libre inferior al mínimo","Completar la revisión"))))))))</f>
        <v/>
      </c>
      <c r="T34" s="26" t="n"/>
    </row>
    <row r="35" ht="22" customHeight="1">
      <c r="A35" s="20" t="n"/>
      <c r="B35" s="20" t="n"/>
      <c r="C35" s="20" t="n"/>
      <c r="D35" s="20" t="n"/>
      <c r="E35" s="20" t="n"/>
      <c r="F35" s="20" t="n"/>
      <c r="G35" s="21" t="n"/>
      <c r="H35" s="20" t="n"/>
      <c r="I35" s="20" t="n"/>
      <c r="J35" s="20" t="n"/>
      <c r="K35" s="21" t="n"/>
      <c r="L35" s="20" t="n"/>
      <c r="M35" s="20" t="n"/>
      <c r="N35" s="22" t="n"/>
      <c r="O35" s="23">
        <f>IF(A35="","",IF(COUNTIFS(tblControl[ID del soporte],A35,tblControl[Estado del control],"Abierto")&gt;0,"Sí","No"))</f>
        <v/>
      </c>
      <c r="P35" s="23">
        <f>IF(A35="","",IFERROR(_xlfn.XLOOKUP(1,(tblControl[ID del soporte]=A35)*(tblControl[Estado del control]="Abierto"),tblControl[ID de sesión],"",0,-1),""))</f>
        <v/>
      </c>
      <c r="Q35" s="24">
        <f>IF(A35="","",IF(B35&lt;&gt;"Tarjeta","",IFERROR(K35/G35,"")))</f>
        <v/>
      </c>
      <c r="R35" s="23">
        <f>IF(A35="","",IF(I35&lt;&gt;"Activo","No disponible",IF(O35="Sí","Asignada",IF(B35="Batería",IF(J35="","Sin revisar",IF(J35&lt;Resumen!$C$3,"Cargar","Preparada")),IF(B35="Tarjeta",IF(OR(G35="",K35=""),"Sin revisar",IF(L35="No","Pendiente de descarga",IF(M35="No","Pendiente de borrado",IF(Q35&lt;Resumen!$C$4,"Liberar espacio","Preparada")))),"Revisar tipo")))))</f>
        <v/>
      </c>
      <c r="S35" s="25">
        <f>IF(A35="","",IF(I35&lt;&gt;"Activo","Soporte no disponible",IF(O35="Sí","Asignado a "&amp;P35,IF(R35="Preparada","",IF(R35="Cargar","Recargar antes de asignar",IF(R35="Pendiente de descarga","Comprobar la descarga antes de borrar",IF(R35="Pendiente de borrado","Borrar después de verificar la descarga",IF(R35="Liberar espacio","Espacio libre inferior al mínimo","Completar la revisión"))))))))</f>
        <v/>
      </c>
      <c r="T35" s="26" t="n"/>
    </row>
    <row r="36" ht="22" customHeight="1">
      <c r="A36" s="20" t="n"/>
      <c r="B36" s="20" t="n"/>
      <c r="C36" s="20" t="n"/>
      <c r="D36" s="20" t="n"/>
      <c r="E36" s="20" t="n"/>
      <c r="F36" s="20" t="n"/>
      <c r="G36" s="21" t="n"/>
      <c r="H36" s="20" t="n"/>
      <c r="I36" s="20" t="n"/>
      <c r="J36" s="20" t="n"/>
      <c r="K36" s="21" t="n"/>
      <c r="L36" s="20" t="n"/>
      <c r="M36" s="20" t="n"/>
      <c r="N36" s="22" t="n"/>
      <c r="O36" s="23">
        <f>IF(A36="","",IF(COUNTIFS(tblControl[ID del soporte],A36,tblControl[Estado del control],"Abierto")&gt;0,"Sí","No"))</f>
        <v/>
      </c>
      <c r="P36" s="23">
        <f>IF(A36="","",IFERROR(_xlfn.XLOOKUP(1,(tblControl[ID del soporte]=A36)*(tblControl[Estado del control]="Abierto"),tblControl[ID de sesión],"",0,-1),""))</f>
        <v/>
      </c>
      <c r="Q36" s="24">
        <f>IF(A36="","",IF(B36&lt;&gt;"Tarjeta","",IFERROR(K36/G36,"")))</f>
        <v/>
      </c>
      <c r="R36" s="23">
        <f>IF(A36="","",IF(I36&lt;&gt;"Activo","No disponible",IF(O36="Sí","Asignada",IF(B36="Batería",IF(J36="","Sin revisar",IF(J36&lt;Resumen!$C$3,"Cargar","Preparada")),IF(B36="Tarjeta",IF(OR(G36="",K36=""),"Sin revisar",IF(L36="No","Pendiente de descarga",IF(M36="No","Pendiente de borrado",IF(Q36&lt;Resumen!$C$4,"Liberar espacio","Preparada")))),"Revisar tipo")))))</f>
        <v/>
      </c>
      <c r="S36" s="25">
        <f>IF(A36="","",IF(I36&lt;&gt;"Activo","Soporte no disponible",IF(O36="Sí","Asignado a "&amp;P36,IF(R36="Preparada","",IF(R36="Cargar","Recargar antes de asignar",IF(R36="Pendiente de descarga","Comprobar la descarga antes de borrar",IF(R36="Pendiente de borrado","Borrar después de verificar la descarga",IF(R36="Liberar espacio","Espacio libre inferior al mínimo","Completar la revisión"))))))))</f>
        <v/>
      </c>
      <c r="T36" s="26" t="n"/>
    </row>
    <row r="37" ht="22" customHeight="1">
      <c r="A37" s="20" t="n"/>
      <c r="B37" s="20" t="n"/>
      <c r="C37" s="20" t="n"/>
      <c r="D37" s="20" t="n"/>
      <c r="E37" s="20" t="n"/>
      <c r="F37" s="20" t="n"/>
      <c r="G37" s="21" t="n"/>
      <c r="H37" s="20" t="n"/>
      <c r="I37" s="20" t="n"/>
      <c r="J37" s="20" t="n"/>
      <c r="K37" s="21" t="n"/>
      <c r="L37" s="20" t="n"/>
      <c r="M37" s="20" t="n"/>
      <c r="N37" s="22" t="n"/>
      <c r="O37" s="23">
        <f>IF(A37="","",IF(COUNTIFS(tblControl[ID del soporte],A37,tblControl[Estado del control],"Abierto")&gt;0,"Sí","No"))</f>
        <v/>
      </c>
      <c r="P37" s="23">
        <f>IF(A37="","",IFERROR(_xlfn.XLOOKUP(1,(tblControl[ID del soporte]=A37)*(tblControl[Estado del control]="Abierto"),tblControl[ID de sesión],"",0,-1),""))</f>
        <v/>
      </c>
      <c r="Q37" s="24">
        <f>IF(A37="","",IF(B37&lt;&gt;"Tarjeta","",IFERROR(K37/G37,"")))</f>
        <v/>
      </c>
      <c r="R37" s="23">
        <f>IF(A37="","",IF(I37&lt;&gt;"Activo","No disponible",IF(O37="Sí","Asignada",IF(B37="Batería",IF(J37="","Sin revisar",IF(J37&lt;Resumen!$C$3,"Cargar","Preparada")),IF(B37="Tarjeta",IF(OR(G37="",K37=""),"Sin revisar",IF(L37="No","Pendiente de descarga",IF(M37="No","Pendiente de borrado",IF(Q37&lt;Resumen!$C$4,"Liberar espacio","Preparada")))),"Revisar tipo")))))</f>
        <v/>
      </c>
      <c r="S37" s="25">
        <f>IF(A37="","",IF(I37&lt;&gt;"Activo","Soporte no disponible",IF(O37="Sí","Asignado a "&amp;P37,IF(R37="Preparada","",IF(R37="Cargar","Recargar antes de asignar",IF(R37="Pendiente de descarga","Comprobar la descarga antes de borrar",IF(R37="Pendiente de borrado","Borrar después de verificar la descarga",IF(R37="Liberar espacio","Espacio libre inferior al mínimo","Completar la revisión"))))))))</f>
        <v/>
      </c>
      <c r="T37" s="26" t="n"/>
    </row>
    <row r="38" ht="22" customHeight="1">
      <c r="A38" s="20" t="n"/>
      <c r="B38" s="20" t="n"/>
      <c r="C38" s="20" t="n"/>
      <c r="D38" s="20" t="n"/>
      <c r="E38" s="20" t="n"/>
      <c r="F38" s="20" t="n"/>
      <c r="G38" s="21" t="n"/>
      <c r="H38" s="20" t="n"/>
      <c r="I38" s="20" t="n"/>
      <c r="J38" s="20" t="n"/>
      <c r="K38" s="21" t="n"/>
      <c r="L38" s="20" t="n"/>
      <c r="M38" s="20" t="n"/>
      <c r="N38" s="22" t="n"/>
      <c r="O38" s="23">
        <f>IF(A38="","",IF(COUNTIFS(tblControl[ID del soporte],A38,tblControl[Estado del control],"Abierto")&gt;0,"Sí","No"))</f>
        <v/>
      </c>
      <c r="P38" s="23">
        <f>IF(A38="","",IFERROR(_xlfn.XLOOKUP(1,(tblControl[ID del soporte]=A38)*(tblControl[Estado del control]="Abierto"),tblControl[ID de sesión],"",0,-1),""))</f>
        <v/>
      </c>
      <c r="Q38" s="24">
        <f>IF(A38="","",IF(B38&lt;&gt;"Tarjeta","",IFERROR(K38/G38,"")))</f>
        <v/>
      </c>
      <c r="R38" s="23">
        <f>IF(A38="","",IF(I38&lt;&gt;"Activo","No disponible",IF(O38="Sí","Asignada",IF(B38="Batería",IF(J38="","Sin revisar",IF(J38&lt;Resumen!$C$3,"Cargar","Preparada")),IF(B38="Tarjeta",IF(OR(G38="",K38=""),"Sin revisar",IF(L38="No","Pendiente de descarga",IF(M38="No","Pendiente de borrado",IF(Q38&lt;Resumen!$C$4,"Liberar espacio","Preparada")))),"Revisar tipo")))))</f>
        <v/>
      </c>
      <c r="S38" s="25">
        <f>IF(A38="","",IF(I38&lt;&gt;"Activo","Soporte no disponible",IF(O38="Sí","Asignado a "&amp;P38,IF(R38="Preparada","",IF(R38="Cargar","Recargar antes de asignar",IF(R38="Pendiente de descarga","Comprobar la descarga antes de borrar",IF(R38="Pendiente de borrado","Borrar después de verificar la descarga",IF(R38="Liberar espacio","Espacio libre inferior al mínimo","Completar la revisión"))))))))</f>
        <v/>
      </c>
      <c r="T38" s="26" t="n"/>
    </row>
    <row r="39" ht="22" customHeight="1">
      <c r="A39" s="20" t="n"/>
      <c r="B39" s="20" t="n"/>
      <c r="C39" s="20" t="n"/>
      <c r="D39" s="20" t="n"/>
      <c r="E39" s="20" t="n"/>
      <c r="F39" s="20" t="n"/>
      <c r="G39" s="21" t="n"/>
      <c r="H39" s="20" t="n"/>
      <c r="I39" s="20" t="n"/>
      <c r="J39" s="20" t="n"/>
      <c r="K39" s="21" t="n"/>
      <c r="L39" s="20" t="n"/>
      <c r="M39" s="20" t="n"/>
      <c r="N39" s="22" t="n"/>
      <c r="O39" s="23">
        <f>IF(A39="","",IF(COUNTIFS(tblControl[ID del soporte],A39,tblControl[Estado del control],"Abierto")&gt;0,"Sí","No"))</f>
        <v/>
      </c>
      <c r="P39" s="23">
        <f>IF(A39="","",IFERROR(_xlfn.XLOOKUP(1,(tblControl[ID del soporte]=A39)*(tblControl[Estado del control]="Abierto"),tblControl[ID de sesión],"",0,-1),""))</f>
        <v/>
      </c>
      <c r="Q39" s="24">
        <f>IF(A39="","",IF(B39&lt;&gt;"Tarjeta","",IFERROR(K39/G39,"")))</f>
        <v/>
      </c>
      <c r="R39" s="23">
        <f>IF(A39="","",IF(I39&lt;&gt;"Activo","No disponible",IF(O39="Sí","Asignada",IF(B39="Batería",IF(J39="","Sin revisar",IF(J39&lt;Resumen!$C$3,"Cargar","Preparada")),IF(B39="Tarjeta",IF(OR(G39="",K39=""),"Sin revisar",IF(L39="No","Pendiente de descarga",IF(M39="No","Pendiente de borrado",IF(Q39&lt;Resumen!$C$4,"Liberar espacio","Preparada")))),"Revisar tipo")))))</f>
        <v/>
      </c>
      <c r="S39" s="25">
        <f>IF(A39="","",IF(I39&lt;&gt;"Activo","Soporte no disponible",IF(O39="Sí","Asignado a "&amp;P39,IF(R39="Preparada","",IF(R39="Cargar","Recargar antes de asignar",IF(R39="Pendiente de descarga","Comprobar la descarga antes de borrar",IF(R39="Pendiente de borrado","Borrar después de verificar la descarga",IF(R39="Liberar espacio","Espacio libre inferior al mínimo","Completar la revisión"))))))))</f>
        <v/>
      </c>
      <c r="T39" s="26" t="n"/>
    </row>
    <row r="40" ht="22" customHeight="1">
      <c r="A40" s="20" t="n"/>
      <c r="B40" s="20" t="n"/>
      <c r="C40" s="20" t="n"/>
      <c r="D40" s="20" t="n"/>
      <c r="E40" s="20" t="n"/>
      <c r="F40" s="20" t="n"/>
      <c r="G40" s="21" t="n"/>
      <c r="H40" s="20" t="n"/>
      <c r="I40" s="20" t="n"/>
      <c r="J40" s="20" t="n"/>
      <c r="K40" s="21" t="n"/>
      <c r="L40" s="20" t="n"/>
      <c r="M40" s="20" t="n"/>
      <c r="N40" s="22" t="n"/>
      <c r="O40" s="23">
        <f>IF(A40="","",IF(COUNTIFS(tblControl[ID del soporte],A40,tblControl[Estado del control],"Abierto")&gt;0,"Sí","No"))</f>
        <v/>
      </c>
      <c r="P40" s="23">
        <f>IF(A40="","",IFERROR(_xlfn.XLOOKUP(1,(tblControl[ID del soporte]=A40)*(tblControl[Estado del control]="Abierto"),tblControl[ID de sesión],"",0,-1),""))</f>
        <v/>
      </c>
      <c r="Q40" s="24">
        <f>IF(A40="","",IF(B40&lt;&gt;"Tarjeta","",IFERROR(K40/G40,"")))</f>
        <v/>
      </c>
      <c r="R40" s="23">
        <f>IF(A40="","",IF(I40&lt;&gt;"Activo","No disponible",IF(O40="Sí","Asignada",IF(B40="Batería",IF(J40="","Sin revisar",IF(J40&lt;Resumen!$C$3,"Cargar","Preparada")),IF(B40="Tarjeta",IF(OR(G40="",K40=""),"Sin revisar",IF(L40="No","Pendiente de descarga",IF(M40="No","Pendiente de borrado",IF(Q40&lt;Resumen!$C$4,"Liberar espacio","Preparada")))),"Revisar tipo")))))</f>
        <v/>
      </c>
      <c r="S40" s="25">
        <f>IF(A40="","",IF(I40&lt;&gt;"Activo","Soporte no disponible",IF(O40="Sí","Asignado a "&amp;P40,IF(R40="Preparada","",IF(R40="Cargar","Recargar antes de asignar",IF(R40="Pendiente de descarga","Comprobar la descarga antes de borrar",IF(R40="Pendiente de borrado","Borrar después de verificar la descarga",IF(R40="Liberar espacio","Espacio libre inferior al mínimo","Completar la revisión"))))))))</f>
        <v/>
      </c>
      <c r="T40" s="26" t="n"/>
    </row>
    <row r="41" ht="22" customHeight="1">
      <c r="A41" s="20" t="n"/>
      <c r="B41" s="20" t="n"/>
      <c r="C41" s="20" t="n"/>
      <c r="D41" s="20" t="n"/>
      <c r="E41" s="20" t="n"/>
      <c r="F41" s="20" t="n"/>
      <c r="G41" s="21" t="n"/>
      <c r="H41" s="20" t="n"/>
      <c r="I41" s="20" t="n"/>
      <c r="J41" s="20" t="n"/>
      <c r="K41" s="21" t="n"/>
      <c r="L41" s="20" t="n"/>
      <c r="M41" s="20" t="n"/>
      <c r="N41" s="22" t="n"/>
      <c r="O41" s="23">
        <f>IF(A41="","",IF(COUNTIFS(tblControl[ID del soporte],A41,tblControl[Estado del control],"Abierto")&gt;0,"Sí","No"))</f>
        <v/>
      </c>
      <c r="P41" s="23">
        <f>IF(A41="","",IFERROR(_xlfn.XLOOKUP(1,(tblControl[ID del soporte]=A41)*(tblControl[Estado del control]="Abierto"),tblControl[ID de sesión],"",0,-1),""))</f>
        <v/>
      </c>
      <c r="Q41" s="24">
        <f>IF(A41="","",IF(B41&lt;&gt;"Tarjeta","",IFERROR(K41/G41,"")))</f>
        <v/>
      </c>
      <c r="R41" s="23">
        <f>IF(A41="","",IF(I41&lt;&gt;"Activo","No disponible",IF(O41="Sí","Asignada",IF(B41="Batería",IF(J41="","Sin revisar",IF(J41&lt;Resumen!$C$3,"Cargar","Preparada")),IF(B41="Tarjeta",IF(OR(G41="",K41=""),"Sin revisar",IF(L41="No","Pendiente de descarga",IF(M41="No","Pendiente de borrado",IF(Q41&lt;Resumen!$C$4,"Liberar espacio","Preparada")))),"Revisar tipo")))))</f>
        <v/>
      </c>
      <c r="S41" s="25">
        <f>IF(A41="","",IF(I41&lt;&gt;"Activo","Soporte no disponible",IF(O41="Sí","Asignado a "&amp;P41,IF(R41="Preparada","",IF(R41="Cargar","Recargar antes de asignar",IF(R41="Pendiente de descarga","Comprobar la descarga antes de borrar",IF(R41="Pendiente de borrado","Borrar después de verificar la descarga",IF(R41="Liberar espacio","Espacio libre inferior al mínimo","Completar la revisión"))))))))</f>
        <v/>
      </c>
      <c r="T41" s="26" t="n"/>
    </row>
    <row r="42" ht="22" customHeight="1">
      <c r="A42" s="20" t="n"/>
      <c r="B42" s="20" t="n"/>
      <c r="C42" s="20" t="n"/>
      <c r="D42" s="20" t="n"/>
      <c r="E42" s="20" t="n"/>
      <c r="F42" s="20" t="n"/>
      <c r="G42" s="21" t="n"/>
      <c r="H42" s="20" t="n"/>
      <c r="I42" s="20" t="n"/>
      <c r="J42" s="20" t="n"/>
      <c r="K42" s="21" t="n"/>
      <c r="L42" s="20" t="n"/>
      <c r="M42" s="20" t="n"/>
      <c r="N42" s="22" t="n"/>
      <c r="O42" s="23">
        <f>IF(A42="","",IF(COUNTIFS(tblControl[ID del soporte],A42,tblControl[Estado del control],"Abierto")&gt;0,"Sí","No"))</f>
        <v/>
      </c>
      <c r="P42" s="23">
        <f>IF(A42="","",IFERROR(_xlfn.XLOOKUP(1,(tblControl[ID del soporte]=A42)*(tblControl[Estado del control]="Abierto"),tblControl[ID de sesión],"",0,-1),""))</f>
        <v/>
      </c>
      <c r="Q42" s="24">
        <f>IF(A42="","",IF(B42&lt;&gt;"Tarjeta","",IFERROR(K42/G42,"")))</f>
        <v/>
      </c>
      <c r="R42" s="23">
        <f>IF(A42="","",IF(I42&lt;&gt;"Activo","No disponible",IF(O42="Sí","Asignada",IF(B42="Batería",IF(J42="","Sin revisar",IF(J42&lt;Resumen!$C$3,"Cargar","Preparada")),IF(B42="Tarjeta",IF(OR(G42="",K42=""),"Sin revisar",IF(L42="No","Pendiente de descarga",IF(M42="No","Pendiente de borrado",IF(Q42&lt;Resumen!$C$4,"Liberar espacio","Preparada")))),"Revisar tipo")))))</f>
        <v/>
      </c>
      <c r="S42" s="25">
        <f>IF(A42="","",IF(I42&lt;&gt;"Activo","Soporte no disponible",IF(O42="Sí","Asignado a "&amp;P42,IF(R42="Preparada","",IF(R42="Cargar","Recargar antes de asignar",IF(R42="Pendiente de descarga","Comprobar la descarga antes de borrar",IF(R42="Pendiente de borrado","Borrar después de verificar la descarga",IF(R42="Liberar espacio","Espacio libre inferior al mínimo","Completar la revisión"))))))))</f>
        <v/>
      </c>
      <c r="T42" s="26" t="n"/>
    </row>
    <row r="43" ht="22" customHeight="1">
      <c r="A43" s="20" t="n"/>
      <c r="B43" s="20" t="n"/>
      <c r="C43" s="20" t="n"/>
      <c r="D43" s="20" t="n"/>
      <c r="E43" s="20" t="n"/>
      <c r="F43" s="20" t="n"/>
      <c r="G43" s="21" t="n"/>
      <c r="H43" s="20" t="n"/>
      <c r="I43" s="20" t="n"/>
      <c r="J43" s="20" t="n"/>
      <c r="K43" s="21" t="n"/>
      <c r="L43" s="20" t="n"/>
      <c r="M43" s="20" t="n"/>
      <c r="N43" s="22" t="n"/>
      <c r="O43" s="23">
        <f>IF(A43="","",IF(COUNTIFS(tblControl[ID del soporte],A43,tblControl[Estado del control],"Abierto")&gt;0,"Sí","No"))</f>
        <v/>
      </c>
      <c r="P43" s="23">
        <f>IF(A43="","",IFERROR(_xlfn.XLOOKUP(1,(tblControl[ID del soporte]=A43)*(tblControl[Estado del control]="Abierto"),tblControl[ID de sesión],"",0,-1),""))</f>
        <v/>
      </c>
      <c r="Q43" s="24">
        <f>IF(A43="","",IF(B43&lt;&gt;"Tarjeta","",IFERROR(K43/G43,"")))</f>
        <v/>
      </c>
      <c r="R43" s="23">
        <f>IF(A43="","",IF(I43&lt;&gt;"Activo","No disponible",IF(O43="Sí","Asignada",IF(B43="Batería",IF(J43="","Sin revisar",IF(J43&lt;Resumen!$C$3,"Cargar","Preparada")),IF(B43="Tarjeta",IF(OR(G43="",K43=""),"Sin revisar",IF(L43="No","Pendiente de descarga",IF(M43="No","Pendiente de borrado",IF(Q43&lt;Resumen!$C$4,"Liberar espacio","Preparada")))),"Revisar tipo")))))</f>
        <v/>
      </c>
      <c r="S43" s="25">
        <f>IF(A43="","",IF(I43&lt;&gt;"Activo","Soporte no disponible",IF(O43="Sí","Asignado a "&amp;P43,IF(R43="Preparada","",IF(R43="Cargar","Recargar antes de asignar",IF(R43="Pendiente de descarga","Comprobar la descarga antes de borrar",IF(R43="Pendiente de borrado","Borrar después de verificar la descarga",IF(R43="Liberar espacio","Espacio libre inferior al mínimo","Completar la revisión"))))))))</f>
        <v/>
      </c>
      <c r="T43" s="26" t="n"/>
    </row>
    <row r="44" ht="22" customHeight="1">
      <c r="A44" s="20" t="n"/>
      <c r="B44" s="20" t="n"/>
      <c r="C44" s="20" t="n"/>
      <c r="D44" s="20" t="n"/>
      <c r="E44" s="20" t="n"/>
      <c r="F44" s="20" t="n"/>
      <c r="G44" s="21" t="n"/>
      <c r="H44" s="20" t="n"/>
      <c r="I44" s="20" t="n"/>
      <c r="J44" s="20" t="n"/>
      <c r="K44" s="21" t="n"/>
      <c r="L44" s="20" t="n"/>
      <c r="M44" s="20" t="n"/>
      <c r="N44" s="22" t="n"/>
      <c r="O44" s="23">
        <f>IF(A44="","",IF(COUNTIFS(tblControl[ID del soporte],A44,tblControl[Estado del control],"Abierto")&gt;0,"Sí","No"))</f>
        <v/>
      </c>
      <c r="P44" s="23">
        <f>IF(A44="","",IFERROR(_xlfn.XLOOKUP(1,(tblControl[ID del soporte]=A44)*(tblControl[Estado del control]="Abierto"),tblControl[ID de sesión],"",0,-1),""))</f>
        <v/>
      </c>
      <c r="Q44" s="24">
        <f>IF(A44="","",IF(B44&lt;&gt;"Tarjeta","",IFERROR(K44/G44,"")))</f>
        <v/>
      </c>
      <c r="R44" s="23">
        <f>IF(A44="","",IF(I44&lt;&gt;"Activo","No disponible",IF(O44="Sí","Asignada",IF(B44="Batería",IF(J44="","Sin revisar",IF(J44&lt;Resumen!$C$3,"Cargar","Preparada")),IF(B44="Tarjeta",IF(OR(G44="",K44=""),"Sin revisar",IF(L44="No","Pendiente de descarga",IF(M44="No","Pendiente de borrado",IF(Q44&lt;Resumen!$C$4,"Liberar espacio","Preparada")))),"Revisar tipo")))))</f>
        <v/>
      </c>
      <c r="S44" s="25">
        <f>IF(A44="","",IF(I44&lt;&gt;"Activo","Soporte no disponible",IF(O44="Sí","Asignado a "&amp;P44,IF(R44="Preparada","",IF(R44="Cargar","Recargar antes de asignar",IF(R44="Pendiente de descarga","Comprobar la descarga antes de borrar",IF(R44="Pendiente de borrado","Borrar después de verificar la descarga",IF(R44="Liberar espacio","Espacio libre inferior al mínimo","Completar la revisión"))))))))</f>
        <v/>
      </c>
      <c r="T44" s="26" t="n"/>
    </row>
    <row r="45" ht="22" customHeight="1">
      <c r="A45" s="20" t="n"/>
      <c r="B45" s="20" t="n"/>
      <c r="C45" s="20" t="n"/>
      <c r="D45" s="20" t="n"/>
      <c r="E45" s="20" t="n"/>
      <c r="F45" s="20" t="n"/>
      <c r="G45" s="21" t="n"/>
      <c r="H45" s="20" t="n"/>
      <c r="I45" s="20" t="n"/>
      <c r="J45" s="20" t="n"/>
      <c r="K45" s="21" t="n"/>
      <c r="L45" s="20" t="n"/>
      <c r="M45" s="20" t="n"/>
      <c r="N45" s="22" t="n"/>
      <c r="O45" s="23">
        <f>IF(A45="","",IF(COUNTIFS(tblControl[ID del soporte],A45,tblControl[Estado del control],"Abierto")&gt;0,"Sí","No"))</f>
        <v/>
      </c>
      <c r="P45" s="23">
        <f>IF(A45="","",IFERROR(_xlfn.XLOOKUP(1,(tblControl[ID del soporte]=A45)*(tblControl[Estado del control]="Abierto"),tblControl[ID de sesión],"",0,-1),""))</f>
        <v/>
      </c>
      <c r="Q45" s="24">
        <f>IF(A45="","",IF(B45&lt;&gt;"Tarjeta","",IFERROR(K45/G45,"")))</f>
        <v/>
      </c>
      <c r="R45" s="23">
        <f>IF(A45="","",IF(I45&lt;&gt;"Activo","No disponible",IF(O45="Sí","Asignada",IF(B45="Batería",IF(J45="","Sin revisar",IF(J45&lt;Resumen!$C$3,"Cargar","Preparada")),IF(B45="Tarjeta",IF(OR(G45="",K45=""),"Sin revisar",IF(L45="No","Pendiente de descarga",IF(M45="No","Pendiente de borrado",IF(Q45&lt;Resumen!$C$4,"Liberar espacio","Preparada")))),"Revisar tipo")))))</f>
        <v/>
      </c>
      <c r="S45" s="25">
        <f>IF(A45="","",IF(I45&lt;&gt;"Activo","Soporte no disponible",IF(O45="Sí","Asignado a "&amp;P45,IF(R45="Preparada","",IF(R45="Cargar","Recargar antes de asignar",IF(R45="Pendiente de descarga","Comprobar la descarga antes de borrar",IF(R45="Pendiente de borrado","Borrar después de verificar la descarga",IF(R45="Liberar espacio","Espacio libre inferior al mínimo","Completar la revisión"))))))))</f>
        <v/>
      </c>
      <c r="T45" s="26" t="n"/>
    </row>
    <row r="46" ht="22" customHeight="1">
      <c r="A46" s="20" t="n"/>
      <c r="B46" s="20" t="n"/>
      <c r="C46" s="20" t="n"/>
      <c r="D46" s="20" t="n"/>
      <c r="E46" s="20" t="n"/>
      <c r="F46" s="20" t="n"/>
      <c r="G46" s="21" t="n"/>
      <c r="H46" s="20" t="n"/>
      <c r="I46" s="20" t="n"/>
      <c r="J46" s="20" t="n"/>
      <c r="K46" s="21" t="n"/>
      <c r="L46" s="20" t="n"/>
      <c r="M46" s="20" t="n"/>
      <c r="N46" s="22" t="n"/>
      <c r="O46" s="23">
        <f>IF(A46="","",IF(COUNTIFS(tblControl[ID del soporte],A46,tblControl[Estado del control],"Abierto")&gt;0,"Sí","No"))</f>
        <v/>
      </c>
      <c r="P46" s="23">
        <f>IF(A46="","",IFERROR(_xlfn.XLOOKUP(1,(tblControl[ID del soporte]=A46)*(tblControl[Estado del control]="Abierto"),tblControl[ID de sesión],"",0,-1),""))</f>
        <v/>
      </c>
      <c r="Q46" s="24">
        <f>IF(A46="","",IF(B46&lt;&gt;"Tarjeta","",IFERROR(K46/G46,"")))</f>
        <v/>
      </c>
      <c r="R46" s="23">
        <f>IF(A46="","",IF(I46&lt;&gt;"Activo","No disponible",IF(O46="Sí","Asignada",IF(B46="Batería",IF(J46="","Sin revisar",IF(J46&lt;Resumen!$C$3,"Cargar","Preparada")),IF(B46="Tarjeta",IF(OR(G46="",K46=""),"Sin revisar",IF(L46="No","Pendiente de descarga",IF(M46="No","Pendiente de borrado",IF(Q46&lt;Resumen!$C$4,"Liberar espacio","Preparada")))),"Revisar tipo")))))</f>
        <v/>
      </c>
      <c r="S46" s="25">
        <f>IF(A46="","",IF(I46&lt;&gt;"Activo","Soporte no disponible",IF(O46="Sí","Asignado a "&amp;P46,IF(R46="Preparada","",IF(R46="Cargar","Recargar antes de asignar",IF(R46="Pendiente de descarga","Comprobar la descarga antes de borrar",IF(R46="Pendiente de borrado","Borrar después de verificar la descarga",IF(R46="Liberar espacio","Espacio libre inferior al mínimo","Completar la revisión"))))))))</f>
        <v/>
      </c>
      <c r="T46" s="26" t="n"/>
    </row>
    <row r="47" ht="22" customHeight="1">
      <c r="A47" s="20" t="n"/>
      <c r="B47" s="20" t="n"/>
      <c r="C47" s="20" t="n"/>
      <c r="D47" s="20" t="n"/>
      <c r="E47" s="20" t="n"/>
      <c r="F47" s="20" t="n"/>
      <c r="G47" s="21" t="n"/>
      <c r="H47" s="20" t="n"/>
      <c r="I47" s="20" t="n"/>
      <c r="J47" s="20" t="n"/>
      <c r="K47" s="21" t="n"/>
      <c r="L47" s="20" t="n"/>
      <c r="M47" s="20" t="n"/>
      <c r="N47" s="22" t="n"/>
      <c r="O47" s="23">
        <f>IF(A47="","",IF(COUNTIFS(tblControl[ID del soporte],A47,tblControl[Estado del control],"Abierto")&gt;0,"Sí","No"))</f>
        <v/>
      </c>
      <c r="P47" s="23">
        <f>IF(A47="","",IFERROR(_xlfn.XLOOKUP(1,(tblControl[ID del soporte]=A47)*(tblControl[Estado del control]="Abierto"),tblControl[ID de sesión],"",0,-1),""))</f>
        <v/>
      </c>
      <c r="Q47" s="24">
        <f>IF(A47="","",IF(B47&lt;&gt;"Tarjeta","",IFERROR(K47/G47,"")))</f>
        <v/>
      </c>
      <c r="R47" s="23">
        <f>IF(A47="","",IF(I47&lt;&gt;"Activo","No disponible",IF(O47="Sí","Asignada",IF(B47="Batería",IF(J47="","Sin revisar",IF(J47&lt;Resumen!$C$3,"Cargar","Preparada")),IF(B47="Tarjeta",IF(OR(G47="",K47=""),"Sin revisar",IF(L47="No","Pendiente de descarga",IF(M47="No","Pendiente de borrado",IF(Q47&lt;Resumen!$C$4,"Liberar espacio","Preparada")))),"Revisar tipo")))))</f>
        <v/>
      </c>
      <c r="S47" s="25">
        <f>IF(A47="","",IF(I47&lt;&gt;"Activo","Soporte no disponible",IF(O47="Sí","Asignado a "&amp;P47,IF(R47="Preparada","",IF(R47="Cargar","Recargar antes de asignar",IF(R47="Pendiente de descarga","Comprobar la descarga antes de borrar",IF(R47="Pendiente de borrado","Borrar después de verificar la descarga",IF(R47="Liberar espacio","Espacio libre inferior al mínimo","Completar la revisión"))))))))</f>
        <v/>
      </c>
      <c r="T47" s="26" t="n"/>
    </row>
    <row r="48" ht="22" customHeight="1">
      <c r="A48" s="20" t="n"/>
      <c r="B48" s="20" t="n"/>
      <c r="C48" s="20" t="n"/>
      <c r="D48" s="20" t="n"/>
      <c r="E48" s="20" t="n"/>
      <c r="F48" s="20" t="n"/>
      <c r="G48" s="21" t="n"/>
      <c r="H48" s="20" t="n"/>
      <c r="I48" s="20" t="n"/>
      <c r="J48" s="20" t="n"/>
      <c r="K48" s="21" t="n"/>
      <c r="L48" s="20" t="n"/>
      <c r="M48" s="20" t="n"/>
      <c r="N48" s="22" t="n"/>
      <c r="O48" s="23">
        <f>IF(A48="","",IF(COUNTIFS(tblControl[ID del soporte],A48,tblControl[Estado del control],"Abierto")&gt;0,"Sí","No"))</f>
        <v/>
      </c>
      <c r="P48" s="23">
        <f>IF(A48="","",IFERROR(_xlfn.XLOOKUP(1,(tblControl[ID del soporte]=A48)*(tblControl[Estado del control]="Abierto"),tblControl[ID de sesión],"",0,-1),""))</f>
        <v/>
      </c>
      <c r="Q48" s="24">
        <f>IF(A48="","",IF(B48&lt;&gt;"Tarjeta","",IFERROR(K48/G48,"")))</f>
        <v/>
      </c>
      <c r="R48" s="23">
        <f>IF(A48="","",IF(I48&lt;&gt;"Activo","No disponible",IF(O48="Sí","Asignada",IF(B48="Batería",IF(J48="","Sin revisar",IF(J48&lt;Resumen!$C$3,"Cargar","Preparada")),IF(B48="Tarjeta",IF(OR(G48="",K48=""),"Sin revisar",IF(L48="No","Pendiente de descarga",IF(M48="No","Pendiente de borrado",IF(Q48&lt;Resumen!$C$4,"Liberar espacio","Preparada")))),"Revisar tipo")))))</f>
        <v/>
      </c>
      <c r="S48" s="25">
        <f>IF(A48="","",IF(I48&lt;&gt;"Activo","Soporte no disponible",IF(O48="Sí","Asignado a "&amp;P48,IF(R48="Preparada","",IF(R48="Cargar","Recargar antes de asignar",IF(R48="Pendiente de descarga","Comprobar la descarga antes de borrar",IF(R48="Pendiente de borrado","Borrar después de verificar la descarga",IF(R48="Liberar espacio","Espacio libre inferior al mínimo","Completar la revisión"))))))))</f>
        <v/>
      </c>
      <c r="T48" s="26" t="n"/>
    </row>
    <row r="49" ht="22" customHeight="1">
      <c r="A49" s="20" t="n"/>
      <c r="B49" s="20" t="n"/>
      <c r="C49" s="20" t="n"/>
      <c r="D49" s="20" t="n"/>
      <c r="E49" s="20" t="n"/>
      <c r="F49" s="20" t="n"/>
      <c r="G49" s="21" t="n"/>
      <c r="H49" s="20" t="n"/>
      <c r="I49" s="20" t="n"/>
      <c r="J49" s="20" t="n"/>
      <c r="K49" s="21" t="n"/>
      <c r="L49" s="20" t="n"/>
      <c r="M49" s="20" t="n"/>
      <c r="N49" s="22" t="n"/>
      <c r="O49" s="23">
        <f>IF(A49="","",IF(COUNTIFS(tblControl[ID del soporte],A49,tblControl[Estado del control],"Abierto")&gt;0,"Sí","No"))</f>
        <v/>
      </c>
      <c r="P49" s="23">
        <f>IF(A49="","",IFERROR(_xlfn.XLOOKUP(1,(tblControl[ID del soporte]=A49)*(tblControl[Estado del control]="Abierto"),tblControl[ID de sesión],"",0,-1),""))</f>
        <v/>
      </c>
      <c r="Q49" s="24">
        <f>IF(A49="","",IF(B49&lt;&gt;"Tarjeta","",IFERROR(K49/G49,"")))</f>
        <v/>
      </c>
      <c r="R49" s="23">
        <f>IF(A49="","",IF(I49&lt;&gt;"Activo","No disponible",IF(O49="Sí","Asignada",IF(B49="Batería",IF(J49="","Sin revisar",IF(J49&lt;Resumen!$C$3,"Cargar","Preparada")),IF(B49="Tarjeta",IF(OR(G49="",K49=""),"Sin revisar",IF(L49="No","Pendiente de descarga",IF(M49="No","Pendiente de borrado",IF(Q49&lt;Resumen!$C$4,"Liberar espacio","Preparada")))),"Revisar tipo")))))</f>
        <v/>
      </c>
      <c r="S49" s="25">
        <f>IF(A49="","",IF(I49&lt;&gt;"Activo","Soporte no disponible",IF(O49="Sí","Asignado a "&amp;P49,IF(R49="Preparada","",IF(R49="Cargar","Recargar antes de asignar",IF(R49="Pendiente de descarga","Comprobar la descarga antes de borrar",IF(R49="Pendiente de borrado","Borrar después de verificar la descarga",IF(R49="Liberar espacio","Espacio libre inferior al mínimo","Completar la revisión"))))))))</f>
        <v/>
      </c>
      <c r="T49" s="26" t="n"/>
    </row>
    <row r="50" ht="22" customHeight="1">
      <c r="A50" s="20" t="n"/>
      <c r="B50" s="20" t="n"/>
      <c r="C50" s="20" t="n"/>
      <c r="D50" s="20" t="n"/>
      <c r="E50" s="20" t="n"/>
      <c r="F50" s="20" t="n"/>
      <c r="G50" s="21" t="n"/>
      <c r="H50" s="20" t="n"/>
      <c r="I50" s="20" t="n"/>
      <c r="J50" s="20" t="n"/>
      <c r="K50" s="21" t="n"/>
      <c r="L50" s="20" t="n"/>
      <c r="M50" s="20" t="n"/>
      <c r="N50" s="22" t="n"/>
      <c r="O50" s="23">
        <f>IF(A50="","",IF(COUNTIFS(tblControl[ID del soporte],A50,tblControl[Estado del control],"Abierto")&gt;0,"Sí","No"))</f>
        <v/>
      </c>
      <c r="P50" s="23">
        <f>IF(A50="","",IFERROR(_xlfn.XLOOKUP(1,(tblControl[ID del soporte]=A50)*(tblControl[Estado del control]="Abierto"),tblControl[ID de sesión],"",0,-1),""))</f>
        <v/>
      </c>
      <c r="Q50" s="24">
        <f>IF(A50="","",IF(B50&lt;&gt;"Tarjeta","",IFERROR(K50/G50,"")))</f>
        <v/>
      </c>
      <c r="R50" s="23">
        <f>IF(A50="","",IF(I50&lt;&gt;"Activo","No disponible",IF(O50="Sí","Asignada",IF(B50="Batería",IF(J50="","Sin revisar",IF(J50&lt;Resumen!$C$3,"Cargar","Preparada")),IF(B50="Tarjeta",IF(OR(G50="",K50=""),"Sin revisar",IF(L50="No","Pendiente de descarga",IF(M50="No","Pendiente de borrado",IF(Q50&lt;Resumen!$C$4,"Liberar espacio","Preparada")))),"Revisar tipo")))))</f>
        <v/>
      </c>
      <c r="S50" s="25">
        <f>IF(A50="","",IF(I50&lt;&gt;"Activo","Soporte no disponible",IF(O50="Sí","Asignado a "&amp;P50,IF(R50="Preparada","",IF(R50="Cargar","Recargar antes de asignar",IF(R50="Pendiente de descarga","Comprobar la descarga antes de borrar",IF(R50="Pendiente de borrado","Borrar después de verificar la descarga",IF(R50="Liberar espacio","Espacio libre inferior al mínimo","Completar la revisión"))))))))</f>
        <v/>
      </c>
      <c r="T50" s="26" t="n"/>
    </row>
    <row r="51" ht="22" customHeight="1">
      <c r="A51" s="20" t="n"/>
      <c r="B51" s="20" t="n"/>
      <c r="C51" s="20" t="n"/>
      <c r="D51" s="20" t="n"/>
      <c r="E51" s="20" t="n"/>
      <c r="F51" s="20" t="n"/>
      <c r="G51" s="21" t="n"/>
      <c r="H51" s="20" t="n"/>
      <c r="I51" s="20" t="n"/>
      <c r="J51" s="20" t="n"/>
      <c r="K51" s="21" t="n"/>
      <c r="L51" s="20" t="n"/>
      <c r="M51" s="20" t="n"/>
      <c r="N51" s="22" t="n"/>
      <c r="O51" s="23">
        <f>IF(A51="","",IF(COUNTIFS(tblControl[ID del soporte],A51,tblControl[Estado del control],"Abierto")&gt;0,"Sí","No"))</f>
        <v/>
      </c>
      <c r="P51" s="23">
        <f>IF(A51="","",IFERROR(_xlfn.XLOOKUP(1,(tblControl[ID del soporte]=A51)*(tblControl[Estado del control]="Abierto"),tblControl[ID de sesión],"",0,-1),""))</f>
        <v/>
      </c>
      <c r="Q51" s="24">
        <f>IF(A51="","",IF(B51&lt;&gt;"Tarjeta","",IFERROR(K51/G51,"")))</f>
        <v/>
      </c>
      <c r="R51" s="23">
        <f>IF(A51="","",IF(I51&lt;&gt;"Activo","No disponible",IF(O51="Sí","Asignada",IF(B51="Batería",IF(J51="","Sin revisar",IF(J51&lt;Resumen!$C$3,"Cargar","Preparada")),IF(B51="Tarjeta",IF(OR(G51="",K51=""),"Sin revisar",IF(L51="No","Pendiente de descarga",IF(M51="No","Pendiente de borrado",IF(Q51&lt;Resumen!$C$4,"Liberar espacio","Preparada")))),"Revisar tipo")))))</f>
        <v/>
      </c>
      <c r="S51" s="25">
        <f>IF(A51="","",IF(I51&lt;&gt;"Activo","Soporte no disponible",IF(O51="Sí","Asignado a "&amp;P51,IF(R51="Preparada","",IF(R51="Cargar","Recargar antes de asignar",IF(R51="Pendiente de descarga","Comprobar la descarga antes de borrar",IF(R51="Pendiente de borrado","Borrar después de verificar la descarga",IF(R51="Liberar espacio","Espacio libre inferior al mínimo","Completar la revisión"))))))))</f>
        <v/>
      </c>
      <c r="T51" s="26" t="n"/>
    </row>
    <row r="52" ht="22" customHeight="1">
      <c r="A52" s="20" t="n"/>
      <c r="B52" s="20" t="n"/>
      <c r="C52" s="20" t="n"/>
      <c r="D52" s="20" t="n"/>
      <c r="E52" s="20" t="n"/>
      <c r="F52" s="20" t="n"/>
      <c r="G52" s="21" t="n"/>
      <c r="H52" s="20" t="n"/>
      <c r="I52" s="20" t="n"/>
      <c r="J52" s="20" t="n"/>
      <c r="K52" s="21" t="n"/>
      <c r="L52" s="20" t="n"/>
      <c r="M52" s="20" t="n"/>
      <c r="N52" s="22" t="n"/>
      <c r="O52" s="23">
        <f>IF(A52="","",IF(COUNTIFS(tblControl[ID del soporte],A52,tblControl[Estado del control],"Abierto")&gt;0,"Sí","No"))</f>
        <v/>
      </c>
      <c r="P52" s="23">
        <f>IF(A52="","",IFERROR(_xlfn.XLOOKUP(1,(tblControl[ID del soporte]=A52)*(tblControl[Estado del control]="Abierto"),tblControl[ID de sesión],"",0,-1),""))</f>
        <v/>
      </c>
      <c r="Q52" s="24">
        <f>IF(A52="","",IF(B52&lt;&gt;"Tarjeta","",IFERROR(K52/G52,"")))</f>
        <v/>
      </c>
      <c r="R52" s="23">
        <f>IF(A52="","",IF(I52&lt;&gt;"Activo","No disponible",IF(O52="Sí","Asignada",IF(B52="Batería",IF(J52="","Sin revisar",IF(J52&lt;Resumen!$C$3,"Cargar","Preparada")),IF(B52="Tarjeta",IF(OR(G52="",K52=""),"Sin revisar",IF(L52="No","Pendiente de descarga",IF(M52="No","Pendiente de borrado",IF(Q52&lt;Resumen!$C$4,"Liberar espacio","Preparada")))),"Revisar tipo")))))</f>
        <v/>
      </c>
      <c r="S52" s="25">
        <f>IF(A52="","",IF(I52&lt;&gt;"Activo","Soporte no disponible",IF(O52="Sí","Asignado a "&amp;P52,IF(R52="Preparada","",IF(R52="Cargar","Recargar antes de asignar",IF(R52="Pendiente de descarga","Comprobar la descarga antes de borrar",IF(R52="Pendiente de borrado","Borrar después de verificar la descarga",IF(R52="Liberar espacio","Espacio libre inferior al mínimo","Completar la revisión"))))))))</f>
        <v/>
      </c>
      <c r="T52" s="26" t="n"/>
    </row>
    <row r="53" ht="22" customHeight="1">
      <c r="A53" s="20" t="n"/>
      <c r="B53" s="20" t="n"/>
      <c r="C53" s="20" t="n"/>
      <c r="D53" s="20" t="n"/>
      <c r="E53" s="20" t="n"/>
      <c r="F53" s="20" t="n"/>
      <c r="G53" s="21" t="n"/>
      <c r="H53" s="20" t="n"/>
      <c r="I53" s="20" t="n"/>
      <c r="J53" s="20" t="n"/>
      <c r="K53" s="21" t="n"/>
      <c r="L53" s="20" t="n"/>
      <c r="M53" s="20" t="n"/>
      <c r="N53" s="22" t="n"/>
      <c r="O53" s="23">
        <f>IF(A53="","",IF(COUNTIFS(tblControl[ID del soporte],A53,tblControl[Estado del control],"Abierto")&gt;0,"Sí","No"))</f>
        <v/>
      </c>
      <c r="P53" s="23">
        <f>IF(A53="","",IFERROR(_xlfn.XLOOKUP(1,(tblControl[ID del soporte]=A53)*(tblControl[Estado del control]="Abierto"),tblControl[ID de sesión],"",0,-1),""))</f>
        <v/>
      </c>
      <c r="Q53" s="24">
        <f>IF(A53="","",IF(B53&lt;&gt;"Tarjeta","",IFERROR(K53/G53,"")))</f>
        <v/>
      </c>
      <c r="R53" s="23">
        <f>IF(A53="","",IF(I53&lt;&gt;"Activo","No disponible",IF(O53="Sí","Asignada",IF(B53="Batería",IF(J53="","Sin revisar",IF(J53&lt;Resumen!$C$3,"Cargar","Preparada")),IF(B53="Tarjeta",IF(OR(G53="",K53=""),"Sin revisar",IF(L53="No","Pendiente de descarga",IF(M53="No","Pendiente de borrado",IF(Q53&lt;Resumen!$C$4,"Liberar espacio","Preparada")))),"Revisar tipo")))))</f>
        <v/>
      </c>
      <c r="S53" s="25">
        <f>IF(A53="","",IF(I53&lt;&gt;"Activo","Soporte no disponible",IF(O53="Sí","Asignado a "&amp;P53,IF(R53="Preparada","",IF(R53="Cargar","Recargar antes de asignar",IF(R53="Pendiente de descarga","Comprobar la descarga antes de borrar",IF(R53="Pendiente de borrado","Borrar después de verificar la descarga",IF(R53="Liberar espacio","Espacio libre inferior al mínimo","Completar la revisión"))))))))</f>
        <v/>
      </c>
      <c r="T53" s="26" t="n"/>
    </row>
    <row r="54" ht="22" customHeight="1">
      <c r="A54" s="20" t="n"/>
      <c r="B54" s="20" t="n"/>
      <c r="C54" s="20" t="n"/>
      <c r="D54" s="20" t="n"/>
      <c r="E54" s="20" t="n"/>
      <c r="F54" s="20" t="n"/>
      <c r="G54" s="21" t="n"/>
      <c r="H54" s="20" t="n"/>
      <c r="I54" s="20" t="n"/>
      <c r="J54" s="20" t="n"/>
      <c r="K54" s="21" t="n"/>
      <c r="L54" s="20" t="n"/>
      <c r="M54" s="20" t="n"/>
      <c r="N54" s="22" t="n"/>
      <c r="O54" s="23">
        <f>IF(A54="","",IF(COUNTIFS(tblControl[ID del soporte],A54,tblControl[Estado del control],"Abierto")&gt;0,"Sí","No"))</f>
        <v/>
      </c>
      <c r="P54" s="23">
        <f>IF(A54="","",IFERROR(_xlfn.XLOOKUP(1,(tblControl[ID del soporte]=A54)*(tblControl[Estado del control]="Abierto"),tblControl[ID de sesión],"",0,-1),""))</f>
        <v/>
      </c>
      <c r="Q54" s="24">
        <f>IF(A54="","",IF(B54&lt;&gt;"Tarjeta","",IFERROR(K54/G54,"")))</f>
        <v/>
      </c>
      <c r="R54" s="23">
        <f>IF(A54="","",IF(I54&lt;&gt;"Activo","No disponible",IF(O54="Sí","Asignada",IF(B54="Batería",IF(J54="","Sin revisar",IF(J54&lt;Resumen!$C$3,"Cargar","Preparada")),IF(B54="Tarjeta",IF(OR(G54="",K54=""),"Sin revisar",IF(L54="No","Pendiente de descarga",IF(M54="No","Pendiente de borrado",IF(Q54&lt;Resumen!$C$4,"Liberar espacio","Preparada")))),"Revisar tipo")))))</f>
        <v/>
      </c>
      <c r="S54" s="25">
        <f>IF(A54="","",IF(I54&lt;&gt;"Activo","Soporte no disponible",IF(O54="Sí","Asignado a "&amp;P54,IF(R54="Preparada","",IF(R54="Cargar","Recargar antes de asignar",IF(R54="Pendiente de descarga","Comprobar la descarga antes de borrar",IF(R54="Pendiente de borrado","Borrar después de verificar la descarga",IF(R54="Liberar espacio","Espacio libre inferior al mínimo","Completar la revisión"))))))))</f>
        <v/>
      </c>
      <c r="T54" s="26" t="n"/>
    </row>
    <row r="55" ht="22" customHeight="1">
      <c r="A55" s="20" t="n"/>
      <c r="B55" s="20" t="n"/>
      <c r="C55" s="20" t="n"/>
      <c r="D55" s="20" t="n"/>
      <c r="E55" s="20" t="n"/>
      <c r="F55" s="20" t="n"/>
      <c r="G55" s="21" t="n"/>
      <c r="H55" s="20" t="n"/>
      <c r="I55" s="20" t="n"/>
      <c r="J55" s="20" t="n"/>
      <c r="K55" s="21" t="n"/>
      <c r="L55" s="20" t="n"/>
      <c r="M55" s="20" t="n"/>
      <c r="N55" s="22" t="n"/>
      <c r="O55" s="23">
        <f>IF(A55="","",IF(COUNTIFS(tblControl[ID del soporte],A55,tblControl[Estado del control],"Abierto")&gt;0,"Sí","No"))</f>
        <v/>
      </c>
      <c r="P55" s="23">
        <f>IF(A55="","",IFERROR(_xlfn.XLOOKUP(1,(tblControl[ID del soporte]=A55)*(tblControl[Estado del control]="Abierto"),tblControl[ID de sesión],"",0,-1),""))</f>
        <v/>
      </c>
      <c r="Q55" s="24">
        <f>IF(A55="","",IF(B55&lt;&gt;"Tarjeta","",IFERROR(K55/G55,"")))</f>
        <v/>
      </c>
      <c r="R55" s="23">
        <f>IF(A55="","",IF(I55&lt;&gt;"Activo","No disponible",IF(O55="Sí","Asignada",IF(B55="Batería",IF(J55="","Sin revisar",IF(J55&lt;Resumen!$C$3,"Cargar","Preparada")),IF(B55="Tarjeta",IF(OR(G55="",K55=""),"Sin revisar",IF(L55="No","Pendiente de descarga",IF(M55="No","Pendiente de borrado",IF(Q55&lt;Resumen!$C$4,"Liberar espacio","Preparada")))),"Revisar tipo")))))</f>
        <v/>
      </c>
      <c r="S55" s="25">
        <f>IF(A55="","",IF(I55&lt;&gt;"Activo","Soporte no disponible",IF(O55="Sí","Asignado a "&amp;P55,IF(R55="Preparada","",IF(R55="Cargar","Recargar antes de asignar",IF(R55="Pendiente de descarga","Comprobar la descarga antes de borrar",IF(R55="Pendiente de borrado","Borrar después de verificar la descarga",IF(R55="Liberar espacio","Espacio libre inferior al mínimo","Completar la revisión"))))))))</f>
        <v/>
      </c>
      <c r="T55" s="26" t="n"/>
    </row>
    <row r="56" ht="22" customHeight="1">
      <c r="A56" s="20" t="n"/>
      <c r="B56" s="20" t="n"/>
      <c r="C56" s="20" t="n"/>
      <c r="D56" s="20" t="n"/>
      <c r="E56" s="20" t="n"/>
      <c r="F56" s="20" t="n"/>
      <c r="G56" s="21" t="n"/>
      <c r="H56" s="20" t="n"/>
      <c r="I56" s="20" t="n"/>
      <c r="J56" s="20" t="n"/>
      <c r="K56" s="21" t="n"/>
      <c r="L56" s="20" t="n"/>
      <c r="M56" s="20" t="n"/>
      <c r="N56" s="22" t="n"/>
      <c r="O56" s="23">
        <f>IF(A56="","",IF(COUNTIFS(tblControl[ID del soporte],A56,tblControl[Estado del control],"Abierto")&gt;0,"Sí","No"))</f>
        <v/>
      </c>
      <c r="P56" s="23">
        <f>IF(A56="","",IFERROR(_xlfn.XLOOKUP(1,(tblControl[ID del soporte]=A56)*(tblControl[Estado del control]="Abierto"),tblControl[ID de sesión],"",0,-1),""))</f>
        <v/>
      </c>
      <c r="Q56" s="24">
        <f>IF(A56="","",IF(B56&lt;&gt;"Tarjeta","",IFERROR(K56/G56,"")))</f>
        <v/>
      </c>
      <c r="R56" s="23">
        <f>IF(A56="","",IF(I56&lt;&gt;"Activo","No disponible",IF(O56="Sí","Asignada",IF(B56="Batería",IF(J56="","Sin revisar",IF(J56&lt;Resumen!$C$3,"Cargar","Preparada")),IF(B56="Tarjeta",IF(OR(G56="",K56=""),"Sin revisar",IF(L56="No","Pendiente de descarga",IF(M56="No","Pendiente de borrado",IF(Q56&lt;Resumen!$C$4,"Liberar espacio","Preparada")))),"Revisar tipo")))))</f>
        <v/>
      </c>
      <c r="S56" s="25">
        <f>IF(A56="","",IF(I56&lt;&gt;"Activo","Soporte no disponible",IF(O56="Sí","Asignado a "&amp;P56,IF(R56="Preparada","",IF(R56="Cargar","Recargar antes de asignar",IF(R56="Pendiente de descarga","Comprobar la descarga antes de borrar",IF(R56="Pendiente de borrado","Borrar después de verificar la descarga",IF(R56="Liberar espacio","Espacio libre inferior al mínimo","Completar la revisión"))))))))</f>
        <v/>
      </c>
      <c r="T56" s="26" t="n"/>
    </row>
    <row r="57" ht="22" customHeight="1">
      <c r="A57" s="20" t="n"/>
      <c r="B57" s="20" t="n"/>
      <c r="C57" s="20" t="n"/>
      <c r="D57" s="20" t="n"/>
      <c r="E57" s="20" t="n"/>
      <c r="F57" s="20" t="n"/>
      <c r="G57" s="21" t="n"/>
      <c r="H57" s="20" t="n"/>
      <c r="I57" s="20" t="n"/>
      <c r="J57" s="20" t="n"/>
      <c r="K57" s="21" t="n"/>
      <c r="L57" s="20" t="n"/>
      <c r="M57" s="20" t="n"/>
      <c r="N57" s="22" t="n"/>
      <c r="O57" s="23">
        <f>IF(A57="","",IF(COUNTIFS(tblControl[ID del soporte],A57,tblControl[Estado del control],"Abierto")&gt;0,"Sí","No"))</f>
        <v/>
      </c>
      <c r="P57" s="23">
        <f>IF(A57="","",IFERROR(_xlfn.XLOOKUP(1,(tblControl[ID del soporte]=A57)*(tblControl[Estado del control]="Abierto"),tblControl[ID de sesión],"",0,-1),""))</f>
        <v/>
      </c>
      <c r="Q57" s="24">
        <f>IF(A57="","",IF(B57&lt;&gt;"Tarjeta","",IFERROR(K57/G57,"")))</f>
        <v/>
      </c>
      <c r="R57" s="23">
        <f>IF(A57="","",IF(I57&lt;&gt;"Activo","No disponible",IF(O57="Sí","Asignada",IF(B57="Batería",IF(J57="","Sin revisar",IF(J57&lt;Resumen!$C$3,"Cargar","Preparada")),IF(B57="Tarjeta",IF(OR(G57="",K57=""),"Sin revisar",IF(L57="No","Pendiente de descarga",IF(M57="No","Pendiente de borrado",IF(Q57&lt;Resumen!$C$4,"Liberar espacio","Preparada")))),"Revisar tipo")))))</f>
        <v/>
      </c>
      <c r="S57" s="25">
        <f>IF(A57="","",IF(I57&lt;&gt;"Activo","Soporte no disponible",IF(O57="Sí","Asignado a "&amp;P57,IF(R57="Preparada","",IF(R57="Cargar","Recargar antes de asignar",IF(R57="Pendiente de descarga","Comprobar la descarga antes de borrar",IF(R57="Pendiente de borrado","Borrar después de verificar la descarga",IF(R57="Liberar espacio","Espacio libre inferior al mínimo","Completar la revisión"))))))))</f>
        <v/>
      </c>
      <c r="T57" s="26" t="n"/>
    </row>
    <row r="58" ht="22" customHeight="1">
      <c r="A58" s="20" t="n"/>
      <c r="B58" s="20" t="n"/>
      <c r="C58" s="20" t="n"/>
      <c r="D58" s="20" t="n"/>
      <c r="E58" s="20" t="n"/>
      <c r="F58" s="20" t="n"/>
      <c r="G58" s="21" t="n"/>
      <c r="H58" s="20" t="n"/>
      <c r="I58" s="20" t="n"/>
      <c r="J58" s="20" t="n"/>
      <c r="K58" s="21" t="n"/>
      <c r="L58" s="20" t="n"/>
      <c r="M58" s="20" t="n"/>
      <c r="N58" s="22" t="n"/>
      <c r="O58" s="23">
        <f>IF(A58="","",IF(COUNTIFS(tblControl[ID del soporte],A58,tblControl[Estado del control],"Abierto")&gt;0,"Sí","No"))</f>
        <v/>
      </c>
      <c r="P58" s="23">
        <f>IF(A58="","",IFERROR(_xlfn.XLOOKUP(1,(tblControl[ID del soporte]=A58)*(tblControl[Estado del control]="Abierto"),tblControl[ID de sesión],"",0,-1),""))</f>
        <v/>
      </c>
      <c r="Q58" s="24">
        <f>IF(A58="","",IF(B58&lt;&gt;"Tarjeta","",IFERROR(K58/G58,"")))</f>
        <v/>
      </c>
      <c r="R58" s="23">
        <f>IF(A58="","",IF(I58&lt;&gt;"Activo","No disponible",IF(O58="Sí","Asignada",IF(B58="Batería",IF(J58="","Sin revisar",IF(J58&lt;Resumen!$C$3,"Cargar","Preparada")),IF(B58="Tarjeta",IF(OR(G58="",K58=""),"Sin revisar",IF(L58="No","Pendiente de descarga",IF(M58="No","Pendiente de borrado",IF(Q58&lt;Resumen!$C$4,"Liberar espacio","Preparada")))),"Revisar tipo")))))</f>
        <v/>
      </c>
      <c r="S58" s="25">
        <f>IF(A58="","",IF(I58&lt;&gt;"Activo","Soporte no disponible",IF(O58="Sí","Asignado a "&amp;P58,IF(R58="Preparada","",IF(R58="Cargar","Recargar antes de asignar",IF(R58="Pendiente de descarga","Comprobar la descarga antes de borrar",IF(R58="Pendiente de borrado","Borrar después de verificar la descarga",IF(R58="Liberar espacio","Espacio libre inferior al mínimo","Completar la revisión"))))))))</f>
        <v/>
      </c>
      <c r="T58" s="26" t="n"/>
    </row>
    <row r="59" ht="22" customHeight="1">
      <c r="A59" s="20" t="n"/>
      <c r="B59" s="20" t="n"/>
      <c r="C59" s="20" t="n"/>
      <c r="D59" s="20" t="n"/>
      <c r="E59" s="20" t="n"/>
      <c r="F59" s="20" t="n"/>
      <c r="G59" s="21" t="n"/>
      <c r="H59" s="20" t="n"/>
      <c r="I59" s="20" t="n"/>
      <c r="J59" s="20" t="n"/>
      <c r="K59" s="21" t="n"/>
      <c r="L59" s="20" t="n"/>
      <c r="M59" s="20" t="n"/>
      <c r="N59" s="22" t="n"/>
      <c r="O59" s="23">
        <f>IF(A59="","",IF(COUNTIFS(tblControl[ID del soporte],A59,tblControl[Estado del control],"Abierto")&gt;0,"Sí","No"))</f>
        <v/>
      </c>
      <c r="P59" s="23">
        <f>IF(A59="","",IFERROR(_xlfn.XLOOKUP(1,(tblControl[ID del soporte]=A59)*(tblControl[Estado del control]="Abierto"),tblControl[ID de sesión],"",0,-1),""))</f>
        <v/>
      </c>
      <c r="Q59" s="24">
        <f>IF(A59="","",IF(B59&lt;&gt;"Tarjeta","",IFERROR(K59/G59,"")))</f>
        <v/>
      </c>
      <c r="R59" s="23">
        <f>IF(A59="","",IF(I59&lt;&gt;"Activo","No disponible",IF(O59="Sí","Asignada",IF(B59="Batería",IF(J59="","Sin revisar",IF(J59&lt;Resumen!$C$3,"Cargar","Preparada")),IF(B59="Tarjeta",IF(OR(G59="",K59=""),"Sin revisar",IF(L59="No","Pendiente de descarga",IF(M59="No","Pendiente de borrado",IF(Q59&lt;Resumen!$C$4,"Liberar espacio","Preparada")))),"Revisar tipo")))))</f>
        <v/>
      </c>
      <c r="S59" s="25">
        <f>IF(A59="","",IF(I59&lt;&gt;"Activo","Soporte no disponible",IF(O59="Sí","Asignado a "&amp;P59,IF(R59="Preparada","",IF(R59="Cargar","Recargar antes de asignar",IF(R59="Pendiente de descarga","Comprobar la descarga antes de borrar",IF(R59="Pendiente de borrado","Borrar después de verificar la descarga",IF(R59="Liberar espacio","Espacio libre inferior al mínimo","Completar la revisión"))))))))</f>
        <v/>
      </c>
      <c r="T59" s="26" t="n"/>
    </row>
    <row r="60" ht="22" customHeight="1">
      <c r="A60" s="20" t="n"/>
      <c r="B60" s="20" t="n"/>
      <c r="C60" s="20" t="n"/>
      <c r="D60" s="20" t="n"/>
      <c r="E60" s="20" t="n"/>
      <c r="F60" s="20" t="n"/>
      <c r="G60" s="21" t="n"/>
      <c r="H60" s="20" t="n"/>
      <c r="I60" s="20" t="n"/>
      <c r="J60" s="20" t="n"/>
      <c r="K60" s="21" t="n"/>
      <c r="L60" s="20" t="n"/>
      <c r="M60" s="20" t="n"/>
      <c r="N60" s="22" t="n"/>
      <c r="O60" s="23">
        <f>IF(A60="","",IF(COUNTIFS(tblControl[ID del soporte],A60,tblControl[Estado del control],"Abierto")&gt;0,"Sí","No"))</f>
        <v/>
      </c>
      <c r="P60" s="23">
        <f>IF(A60="","",IFERROR(_xlfn.XLOOKUP(1,(tblControl[ID del soporte]=A60)*(tblControl[Estado del control]="Abierto"),tblControl[ID de sesión],"",0,-1),""))</f>
        <v/>
      </c>
      <c r="Q60" s="24">
        <f>IF(A60="","",IF(B60&lt;&gt;"Tarjeta","",IFERROR(K60/G60,"")))</f>
        <v/>
      </c>
      <c r="R60" s="23">
        <f>IF(A60="","",IF(I60&lt;&gt;"Activo","No disponible",IF(O60="Sí","Asignada",IF(B60="Batería",IF(J60="","Sin revisar",IF(J60&lt;Resumen!$C$3,"Cargar","Preparada")),IF(B60="Tarjeta",IF(OR(G60="",K60=""),"Sin revisar",IF(L60="No","Pendiente de descarga",IF(M60="No","Pendiente de borrado",IF(Q60&lt;Resumen!$C$4,"Liberar espacio","Preparada")))),"Revisar tipo")))))</f>
        <v/>
      </c>
      <c r="S60" s="25">
        <f>IF(A60="","",IF(I60&lt;&gt;"Activo","Soporte no disponible",IF(O60="Sí","Asignado a "&amp;P60,IF(R60="Preparada","",IF(R60="Cargar","Recargar antes de asignar",IF(R60="Pendiente de descarga","Comprobar la descarga antes de borrar",IF(R60="Pendiente de borrado","Borrar después de verificar la descarga",IF(R60="Liberar espacio","Espacio libre inferior al mínimo","Completar la revisión"))))))))</f>
        <v/>
      </c>
      <c r="T60" s="26" t="n"/>
    </row>
    <row r="61" ht="22" customHeight="1">
      <c r="A61" s="20" t="n"/>
      <c r="B61" s="20" t="n"/>
      <c r="C61" s="20" t="n"/>
      <c r="D61" s="20" t="n"/>
      <c r="E61" s="20" t="n"/>
      <c r="F61" s="20" t="n"/>
      <c r="G61" s="21" t="n"/>
      <c r="H61" s="20" t="n"/>
      <c r="I61" s="20" t="n"/>
      <c r="J61" s="20" t="n"/>
      <c r="K61" s="21" t="n"/>
      <c r="L61" s="20" t="n"/>
      <c r="M61" s="20" t="n"/>
      <c r="N61" s="22" t="n"/>
      <c r="O61" s="23">
        <f>IF(A61="","",IF(COUNTIFS(tblControl[ID del soporte],A61,tblControl[Estado del control],"Abierto")&gt;0,"Sí","No"))</f>
        <v/>
      </c>
      <c r="P61" s="23">
        <f>IF(A61="","",IFERROR(_xlfn.XLOOKUP(1,(tblControl[ID del soporte]=A61)*(tblControl[Estado del control]="Abierto"),tblControl[ID de sesión],"",0,-1),""))</f>
        <v/>
      </c>
      <c r="Q61" s="24">
        <f>IF(A61="","",IF(B61&lt;&gt;"Tarjeta","",IFERROR(K61/G61,"")))</f>
        <v/>
      </c>
      <c r="R61" s="23">
        <f>IF(A61="","",IF(I61&lt;&gt;"Activo","No disponible",IF(O61="Sí","Asignada",IF(B61="Batería",IF(J61="","Sin revisar",IF(J61&lt;Resumen!$C$3,"Cargar","Preparada")),IF(B61="Tarjeta",IF(OR(G61="",K61=""),"Sin revisar",IF(L61="No","Pendiente de descarga",IF(M61="No","Pendiente de borrado",IF(Q61&lt;Resumen!$C$4,"Liberar espacio","Preparada")))),"Revisar tipo")))))</f>
        <v/>
      </c>
      <c r="S61" s="25">
        <f>IF(A61="","",IF(I61&lt;&gt;"Activo","Soporte no disponible",IF(O61="Sí","Asignado a "&amp;P61,IF(R61="Preparada","",IF(R61="Cargar","Recargar antes de asignar",IF(R61="Pendiente de descarga","Comprobar la descarga antes de borrar",IF(R61="Pendiente de borrado","Borrar después de verificar la descarga",IF(R61="Liberar espacio","Espacio libre inferior al mínimo","Completar la revisión"))))))))</f>
        <v/>
      </c>
      <c r="T61" s="26" t="n"/>
    </row>
    <row r="62" ht="22" customHeight="1">
      <c r="A62" s="20" t="n"/>
      <c r="B62" s="20" t="n"/>
      <c r="C62" s="20" t="n"/>
      <c r="D62" s="20" t="n"/>
      <c r="E62" s="20" t="n"/>
      <c r="F62" s="20" t="n"/>
      <c r="G62" s="21" t="n"/>
      <c r="H62" s="20" t="n"/>
      <c r="I62" s="20" t="n"/>
      <c r="J62" s="20" t="n"/>
      <c r="K62" s="21" t="n"/>
      <c r="L62" s="20" t="n"/>
      <c r="M62" s="20" t="n"/>
      <c r="N62" s="22" t="n"/>
      <c r="O62" s="23">
        <f>IF(A62="","",IF(COUNTIFS(tblControl[ID del soporte],A62,tblControl[Estado del control],"Abierto")&gt;0,"Sí","No"))</f>
        <v/>
      </c>
      <c r="P62" s="23">
        <f>IF(A62="","",IFERROR(_xlfn.XLOOKUP(1,(tblControl[ID del soporte]=A62)*(tblControl[Estado del control]="Abierto"),tblControl[ID de sesión],"",0,-1),""))</f>
        <v/>
      </c>
      <c r="Q62" s="24">
        <f>IF(A62="","",IF(B62&lt;&gt;"Tarjeta","",IFERROR(K62/G62,"")))</f>
        <v/>
      </c>
      <c r="R62" s="23">
        <f>IF(A62="","",IF(I62&lt;&gt;"Activo","No disponible",IF(O62="Sí","Asignada",IF(B62="Batería",IF(J62="","Sin revisar",IF(J62&lt;Resumen!$C$3,"Cargar","Preparada")),IF(B62="Tarjeta",IF(OR(G62="",K62=""),"Sin revisar",IF(L62="No","Pendiente de descarga",IF(M62="No","Pendiente de borrado",IF(Q62&lt;Resumen!$C$4,"Liberar espacio","Preparada")))),"Revisar tipo")))))</f>
        <v/>
      </c>
      <c r="S62" s="25">
        <f>IF(A62="","",IF(I62&lt;&gt;"Activo","Soporte no disponible",IF(O62="Sí","Asignado a "&amp;P62,IF(R62="Preparada","",IF(R62="Cargar","Recargar antes de asignar",IF(R62="Pendiente de descarga","Comprobar la descarga antes de borrar",IF(R62="Pendiente de borrado","Borrar después de verificar la descarga",IF(R62="Liberar espacio","Espacio libre inferior al mínimo","Completar la revisión"))))))))</f>
        <v/>
      </c>
      <c r="T62" s="26" t="n"/>
    </row>
    <row r="63" ht="22" customHeight="1">
      <c r="A63" s="20" t="n"/>
      <c r="B63" s="20" t="n"/>
      <c r="C63" s="20" t="n"/>
      <c r="D63" s="20" t="n"/>
      <c r="E63" s="20" t="n"/>
      <c r="F63" s="20" t="n"/>
      <c r="G63" s="21" t="n"/>
      <c r="H63" s="20" t="n"/>
      <c r="I63" s="20" t="n"/>
      <c r="J63" s="20" t="n"/>
      <c r="K63" s="21" t="n"/>
      <c r="L63" s="20" t="n"/>
      <c r="M63" s="20" t="n"/>
      <c r="N63" s="22" t="n"/>
      <c r="O63" s="23">
        <f>IF(A63="","",IF(COUNTIFS(tblControl[ID del soporte],A63,tblControl[Estado del control],"Abierto")&gt;0,"Sí","No"))</f>
        <v/>
      </c>
      <c r="P63" s="23">
        <f>IF(A63="","",IFERROR(_xlfn.XLOOKUP(1,(tblControl[ID del soporte]=A63)*(tblControl[Estado del control]="Abierto"),tblControl[ID de sesión],"",0,-1),""))</f>
        <v/>
      </c>
      <c r="Q63" s="24">
        <f>IF(A63="","",IF(B63&lt;&gt;"Tarjeta","",IFERROR(K63/G63,"")))</f>
        <v/>
      </c>
      <c r="R63" s="23">
        <f>IF(A63="","",IF(I63&lt;&gt;"Activo","No disponible",IF(O63="Sí","Asignada",IF(B63="Batería",IF(J63="","Sin revisar",IF(J63&lt;Resumen!$C$3,"Cargar","Preparada")),IF(B63="Tarjeta",IF(OR(G63="",K63=""),"Sin revisar",IF(L63="No","Pendiente de descarga",IF(M63="No","Pendiente de borrado",IF(Q63&lt;Resumen!$C$4,"Liberar espacio","Preparada")))),"Revisar tipo")))))</f>
        <v/>
      </c>
      <c r="S63" s="25">
        <f>IF(A63="","",IF(I63&lt;&gt;"Activo","Soporte no disponible",IF(O63="Sí","Asignado a "&amp;P63,IF(R63="Preparada","",IF(R63="Cargar","Recargar antes de asignar",IF(R63="Pendiente de descarga","Comprobar la descarga antes de borrar",IF(R63="Pendiente de borrado","Borrar después de verificar la descarga",IF(R63="Liberar espacio","Espacio libre inferior al mínimo","Completar la revisión"))))))))</f>
        <v/>
      </c>
      <c r="T63" s="26" t="n"/>
    </row>
    <row r="64" ht="22" customHeight="1">
      <c r="A64" s="20" t="n"/>
      <c r="B64" s="20" t="n"/>
      <c r="C64" s="20" t="n"/>
      <c r="D64" s="20" t="n"/>
      <c r="E64" s="20" t="n"/>
      <c r="F64" s="20" t="n"/>
      <c r="G64" s="21" t="n"/>
      <c r="H64" s="20" t="n"/>
      <c r="I64" s="20" t="n"/>
      <c r="J64" s="20" t="n"/>
      <c r="K64" s="21" t="n"/>
      <c r="L64" s="20" t="n"/>
      <c r="M64" s="20" t="n"/>
      <c r="N64" s="22" t="n"/>
      <c r="O64" s="23">
        <f>IF(A64="","",IF(COUNTIFS(tblControl[ID del soporte],A64,tblControl[Estado del control],"Abierto")&gt;0,"Sí","No"))</f>
        <v/>
      </c>
      <c r="P64" s="23">
        <f>IF(A64="","",IFERROR(_xlfn.XLOOKUP(1,(tblControl[ID del soporte]=A64)*(tblControl[Estado del control]="Abierto"),tblControl[ID de sesión],"",0,-1),""))</f>
        <v/>
      </c>
      <c r="Q64" s="24">
        <f>IF(A64="","",IF(B64&lt;&gt;"Tarjeta","",IFERROR(K64/G64,"")))</f>
        <v/>
      </c>
      <c r="R64" s="23">
        <f>IF(A64="","",IF(I64&lt;&gt;"Activo","No disponible",IF(O64="Sí","Asignada",IF(B64="Batería",IF(J64="","Sin revisar",IF(J64&lt;Resumen!$C$3,"Cargar","Preparada")),IF(B64="Tarjeta",IF(OR(G64="",K64=""),"Sin revisar",IF(L64="No","Pendiente de descarga",IF(M64="No","Pendiente de borrado",IF(Q64&lt;Resumen!$C$4,"Liberar espacio","Preparada")))),"Revisar tipo")))))</f>
        <v/>
      </c>
      <c r="S64" s="25">
        <f>IF(A64="","",IF(I64&lt;&gt;"Activo","Soporte no disponible",IF(O64="Sí","Asignado a "&amp;P64,IF(R64="Preparada","",IF(R64="Cargar","Recargar antes de asignar",IF(R64="Pendiente de descarga","Comprobar la descarga antes de borrar",IF(R64="Pendiente de borrado","Borrar después de verificar la descarga",IF(R64="Liberar espacio","Espacio libre inferior al mínimo","Completar la revisión"))))))))</f>
        <v/>
      </c>
      <c r="T64" s="26" t="n"/>
    </row>
    <row r="65" ht="22" customHeight="1">
      <c r="A65" s="20" t="n"/>
      <c r="B65" s="20" t="n"/>
      <c r="C65" s="20" t="n"/>
      <c r="D65" s="20" t="n"/>
      <c r="E65" s="20" t="n"/>
      <c r="F65" s="20" t="n"/>
      <c r="G65" s="21" t="n"/>
      <c r="H65" s="20" t="n"/>
      <c r="I65" s="20" t="n"/>
      <c r="J65" s="20" t="n"/>
      <c r="K65" s="21" t="n"/>
      <c r="L65" s="20" t="n"/>
      <c r="M65" s="20" t="n"/>
      <c r="N65" s="22" t="n"/>
      <c r="O65" s="23">
        <f>IF(A65="","",IF(COUNTIFS(tblControl[ID del soporte],A65,tblControl[Estado del control],"Abierto")&gt;0,"Sí","No"))</f>
        <v/>
      </c>
      <c r="P65" s="23">
        <f>IF(A65="","",IFERROR(_xlfn.XLOOKUP(1,(tblControl[ID del soporte]=A65)*(tblControl[Estado del control]="Abierto"),tblControl[ID de sesión],"",0,-1),""))</f>
        <v/>
      </c>
      <c r="Q65" s="24">
        <f>IF(A65="","",IF(B65&lt;&gt;"Tarjeta","",IFERROR(K65/G65,"")))</f>
        <v/>
      </c>
      <c r="R65" s="23">
        <f>IF(A65="","",IF(I65&lt;&gt;"Activo","No disponible",IF(O65="Sí","Asignada",IF(B65="Batería",IF(J65="","Sin revisar",IF(J65&lt;Resumen!$C$3,"Cargar","Preparada")),IF(B65="Tarjeta",IF(OR(G65="",K65=""),"Sin revisar",IF(L65="No","Pendiente de descarga",IF(M65="No","Pendiente de borrado",IF(Q65&lt;Resumen!$C$4,"Liberar espacio","Preparada")))),"Revisar tipo")))))</f>
        <v/>
      </c>
      <c r="S65" s="25">
        <f>IF(A65="","",IF(I65&lt;&gt;"Activo","Soporte no disponible",IF(O65="Sí","Asignado a "&amp;P65,IF(R65="Preparada","",IF(R65="Cargar","Recargar antes de asignar",IF(R65="Pendiente de descarga","Comprobar la descarga antes de borrar",IF(R65="Pendiente de borrado","Borrar después de verificar la descarga",IF(R65="Liberar espacio","Espacio libre inferior al mínimo","Completar la revisión"))))))))</f>
        <v/>
      </c>
      <c r="T65" s="26" t="n"/>
    </row>
    <row r="66" ht="22" customHeight="1">
      <c r="A66" s="20" t="n"/>
      <c r="B66" s="20" t="n"/>
      <c r="C66" s="20" t="n"/>
      <c r="D66" s="20" t="n"/>
      <c r="E66" s="20" t="n"/>
      <c r="F66" s="20" t="n"/>
      <c r="G66" s="21" t="n"/>
      <c r="H66" s="20" t="n"/>
      <c r="I66" s="20" t="n"/>
      <c r="J66" s="20" t="n"/>
      <c r="K66" s="21" t="n"/>
      <c r="L66" s="20" t="n"/>
      <c r="M66" s="20" t="n"/>
      <c r="N66" s="22" t="n"/>
      <c r="O66" s="23">
        <f>IF(A66="","",IF(COUNTIFS(tblControl[ID del soporte],A66,tblControl[Estado del control],"Abierto")&gt;0,"Sí","No"))</f>
        <v/>
      </c>
      <c r="P66" s="23">
        <f>IF(A66="","",IFERROR(_xlfn.XLOOKUP(1,(tblControl[ID del soporte]=A66)*(tblControl[Estado del control]="Abierto"),tblControl[ID de sesión],"",0,-1),""))</f>
        <v/>
      </c>
      <c r="Q66" s="24">
        <f>IF(A66="","",IF(B66&lt;&gt;"Tarjeta","",IFERROR(K66/G66,"")))</f>
        <v/>
      </c>
      <c r="R66" s="23">
        <f>IF(A66="","",IF(I66&lt;&gt;"Activo","No disponible",IF(O66="Sí","Asignada",IF(B66="Batería",IF(J66="","Sin revisar",IF(J66&lt;Resumen!$C$3,"Cargar","Preparada")),IF(B66="Tarjeta",IF(OR(G66="",K66=""),"Sin revisar",IF(L66="No","Pendiente de descarga",IF(M66="No","Pendiente de borrado",IF(Q66&lt;Resumen!$C$4,"Liberar espacio","Preparada")))),"Revisar tipo")))))</f>
        <v/>
      </c>
      <c r="S66" s="25">
        <f>IF(A66="","",IF(I66&lt;&gt;"Activo","Soporte no disponible",IF(O66="Sí","Asignado a "&amp;P66,IF(R66="Preparada","",IF(R66="Cargar","Recargar antes de asignar",IF(R66="Pendiente de descarga","Comprobar la descarga antes de borrar",IF(R66="Pendiente de borrado","Borrar después de verificar la descarga",IF(R66="Liberar espacio","Espacio libre inferior al mínimo","Completar la revisión"))))))))</f>
        <v/>
      </c>
      <c r="T66" s="26" t="n"/>
    </row>
    <row r="67" ht="22" customHeight="1">
      <c r="A67" s="20" t="n"/>
      <c r="B67" s="20" t="n"/>
      <c r="C67" s="20" t="n"/>
      <c r="D67" s="20" t="n"/>
      <c r="E67" s="20" t="n"/>
      <c r="F67" s="20" t="n"/>
      <c r="G67" s="21" t="n"/>
      <c r="H67" s="20" t="n"/>
      <c r="I67" s="20" t="n"/>
      <c r="J67" s="20" t="n"/>
      <c r="K67" s="21" t="n"/>
      <c r="L67" s="20" t="n"/>
      <c r="M67" s="20" t="n"/>
      <c r="N67" s="22" t="n"/>
      <c r="O67" s="23">
        <f>IF(A67="","",IF(COUNTIFS(tblControl[ID del soporte],A67,tblControl[Estado del control],"Abierto")&gt;0,"Sí","No"))</f>
        <v/>
      </c>
      <c r="P67" s="23">
        <f>IF(A67="","",IFERROR(_xlfn.XLOOKUP(1,(tblControl[ID del soporte]=A67)*(tblControl[Estado del control]="Abierto"),tblControl[ID de sesión],"",0,-1),""))</f>
        <v/>
      </c>
      <c r="Q67" s="24">
        <f>IF(A67="","",IF(B67&lt;&gt;"Tarjeta","",IFERROR(K67/G67,"")))</f>
        <v/>
      </c>
      <c r="R67" s="23">
        <f>IF(A67="","",IF(I67&lt;&gt;"Activo","No disponible",IF(O67="Sí","Asignada",IF(B67="Batería",IF(J67="","Sin revisar",IF(J67&lt;Resumen!$C$3,"Cargar","Preparada")),IF(B67="Tarjeta",IF(OR(G67="",K67=""),"Sin revisar",IF(L67="No","Pendiente de descarga",IF(M67="No","Pendiente de borrado",IF(Q67&lt;Resumen!$C$4,"Liberar espacio","Preparada")))),"Revisar tipo")))))</f>
        <v/>
      </c>
      <c r="S67" s="25">
        <f>IF(A67="","",IF(I67&lt;&gt;"Activo","Soporte no disponible",IF(O67="Sí","Asignado a "&amp;P67,IF(R67="Preparada","",IF(R67="Cargar","Recargar antes de asignar",IF(R67="Pendiente de descarga","Comprobar la descarga antes de borrar",IF(R67="Pendiente de borrado","Borrar después de verificar la descarga",IF(R67="Liberar espacio","Espacio libre inferior al mínimo","Completar la revisión"))))))))</f>
        <v/>
      </c>
      <c r="T67" s="26" t="n"/>
    </row>
    <row r="68" ht="22" customHeight="1">
      <c r="A68" s="20" t="n"/>
      <c r="B68" s="20" t="n"/>
      <c r="C68" s="20" t="n"/>
      <c r="D68" s="20" t="n"/>
      <c r="E68" s="20" t="n"/>
      <c r="F68" s="20" t="n"/>
      <c r="G68" s="21" t="n"/>
      <c r="H68" s="20" t="n"/>
      <c r="I68" s="20" t="n"/>
      <c r="J68" s="20" t="n"/>
      <c r="K68" s="21" t="n"/>
      <c r="L68" s="20" t="n"/>
      <c r="M68" s="20" t="n"/>
      <c r="N68" s="22" t="n"/>
      <c r="O68" s="23">
        <f>IF(A68="","",IF(COUNTIFS(tblControl[ID del soporte],A68,tblControl[Estado del control],"Abierto")&gt;0,"Sí","No"))</f>
        <v/>
      </c>
      <c r="P68" s="23">
        <f>IF(A68="","",IFERROR(_xlfn.XLOOKUP(1,(tblControl[ID del soporte]=A68)*(tblControl[Estado del control]="Abierto"),tblControl[ID de sesión],"",0,-1),""))</f>
        <v/>
      </c>
      <c r="Q68" s="24">
        <f>IF(A68="","",IF(B68&lt;&gt;"Tarjeta","",IFERROR(K68/G68,"")))</f>
        <v/>
      </c>
      <c r="R68" s="23">
        <f>IF(A68="","",IF(I68&lt;&gt;"Activo","No disponible",IF(O68="Sí","Asignada",IF(B68="Batería",IF(J68="","Sin revisar",IF(J68&lt;Resumen!$C$3,"Cargar","Preparada")),IF(B68="Tarjeta",IF(OR(G68="",K68=""),"Sin revisar",IF(L68="No","Pendiente de descarga",IF(M68="No","Pendiente de borrado",IF(Q68&lt;Resumen!$C$4,"Liberar espacio","Preparada")))),"Revisar tipo")))))</f>
        <v/>
      </c>
      <c r="S68" s="25">
        <f>IF(A68="","",IF(I68&lt;&gt;"Activo","Soporte no disponible",IF(O68="Sí","Asignado a "&amp;P68,IF(R68="Preparada","",IF(R68="Cargar","Recargar antes de asignar",IF(R68="Pendiente de descarga","Comprobar la descarga antes de borrar",IF(R68="Pendiente de borrado","Borrar después de verificar la descarga",IF(R68="Liberar espacio","Espacio libre inferior al mínimo","Completar la revisión"))))))))</f>
        <v/>
      </c>
      <c r="T68" s="26" t="n"/>
    </row>
    <row r="69" ht="22" customHeight="1">
      <c r="A69" s="20" t="n"/>
      <c r="B69" s="20" t="n"/>
      <c r="C69" s="20" t="n"/>
      <c r="D69" s="20" t="n"/>
      <c r="E69" s="20" t="n"/>
      <c r="F69" s="20" t="n"/>
      <c r="G69" s="21" t="n"/>
      <c r="H69" s="20" t="n"/>
      <c r="I69" s="20" t="n"/>
      <c r="J69" s="20" t="n"/>
      <c r="K69" s="21" t="n"/>
      <c r="L69" s="20" t="n"/>
      <c r="M69" s="20" t="n"/>
      <c r="N69" s="22" t="n"/>
      <c r="O69" s="23">
        <f>IF(A69="","",IF(COUNTIFS(tblControl[ID del soporte],A69,tblControl[Estado del control],"Abierto")&gt;0,"Sí","No"))</f>
        <v/>
      </c>
      <c r="P69" s="23">
        <f>IF(A69="","",IFERROR(_xlfn.XLOOKUP(1,(tblControl[ID del soporte]=A69)*(tblControl[Estado del control]="Abierto"),tblControl[ID de sesión],"",0,-1),""))</f>
        <v/>
      </c>
      <c r="Q69" s="24">
        <f>IF(A69="","",IF(B69&lt;&gt;"Tarjeta","",IFERROR(K69/G69,"")))</f>
        <v/>
      </c>
      <c r="R69" s="23">
        <f>IF(A69="","",IF(I69&lt;&gt;"Activo","No disponible",IF(O69="Sí","Asignada",IF(B69="Batería",IF(J69="","Sin revisar",IF(J69&lt;Resumen!$C$3,"Cargar","Preparada")),IF(B69="Tarjeta",IF(OR(G69="",K69=""),"Sin revisar",IF(L69="No","Pendiente de descarga",IF(M69="No","Pendiente de borrado",IF(Q69&lt;Resumen!$C$4,"Liberar espacio","Preparada")))),"Revisar tipo")))))</f>
        <v/>
      </c>
      <c r="S69" s="25">
        <f>IF(A69="","",IF(I69&lt;&gt;"Activo","Soporte no disponible",IF(O69="Sí","Asignado a "&amp;P69,IF(R69="Preparada","",IF(R69="Cargar","Recargar antes de asignar",IF(R69="Pendiente de descarga","Comprobar la descarga antes de borrar",IF(R69="Pendiente de borrado","Borrar después de verificar la descarga",IF(R69="Liberar espacio","Espacio libre inferior al mínimo","Completar la revisión"))))))))</f>
        <v/>
      </c>
      <c r="T69" s="26" t="n"/>
    </row>
    <row r="70" ht="22" customHeight="1">
      <c r="A70" s="20" t="n"/>
      <c r="B70" s="20" t="n"/>
      <c r="C70" s="20" t="n"/>
      <c r="D70" s="20" t="n"/>
      <c r="E70" s="20" t="n"/>
      <c r="F70" s="20" t="n"/>
      <c r="G70" s="21" t="n"/>
      <c r="H70" s="20" t="n"/>
      <c r="I70" s="20" t="n"/>
      <c r="J70" s="20" t="n"/>
      <c r="K70" s="21" t="n"/>
      <c r="L70" s="20" t="n"/>
      <c r="M70" s="20" t="n"/>
      <c r="N70" s="22" t="n"/>
      <c r="O70" s="23">
        <f>IF(A70="","",IF(COUNTIFS(tblControl[ID del soporte],A70,tblControl[Estado del control],"Abierto")&gt;0,"Sí","No"))</f>
        <v/>
      </c>
      <c r="P70" s="23">
        <f>IF(A70="","",IFERROR(_xlfn.XLOOKUP(1,(tblControl[ID del soporte]=A70)*(tblControl[Estado del control]="Abierto"),tblControl[ID de sesión],"",0,-1),""))</f>
        <v/>
      </c>
      <c r="Q70" s="24">
        <f>IF(A70="","",IF(B70&lt;&gt;"Tarjeta","",IFERROR(K70/G70,"")))</f>
        <v/>
      </c>
      <c r="R70" s="23">
        <f>IF(A70="","",IF(I70&lt;&gt;"Activo","No disponible",IF(O70="Sí","Asignada",IF(B70="Batería",IF(J70="","Sin revisar",IF(J70&lt;Resumen!$C$3,"Cargar","Preparada")),IF(B70="Tarjeta",IF(OR(G70="",K70=""),"Sin revisar",IF(L70="No","Pendiente de descarga",IF(M70="No","Pendiente de borrado",IF(Q70&lt;Resumen!$C$4,"Liberar espacio","Preparada")))),"Revisar tipo")))))</f>
        <v/>
      </c>
      <c r="S70" s="25">
        <f>IF(A70="","",IF(I70&lt;&gt;"Activo","Soporte no disponible",IF(O70="Sí","Asignado a "&amp;P70,IF(R70="Preparada","",IF(R70="Cargar","Recargar antes de asignar",IF(R70="Pendiente de descarga","Comprobar la descarga antes de borrar",IF(R70="Pendiente de borrado","Borrar después de verificar la descarga",IF(R70="Liberar espacio","Espacio libre inferior al mínimo","Completar la revisión"))))))))</f>
        <v/>
      </c>
      <c r="T70" s="26" t="n"/>
    </row>
    <row r="71" ht="22" customHeight="1">
      <c r="A71" s="20" t="n"/>
      <c r="B71" s="20" t="n"/>
      <c r="C71" s="20" t="n"/>
      <c r="D71" s="20" t="n"/>
      <c r="E71" s="20" t="n"/>
      <c r="F71" s="20" t="n"/>
      <c r="G71" s="21" t="n"/>
      <c r="H71" s="20" t="n"/>
      <c r="I71" s="20" t="n"/>
      <c r="J71" s="20" t="n"/>
      <c r="K71" s="21" t="n"/>
      <c r="L71" s="20" t="n"/>
      <c r="M71" s="20" t="n"/>
      <c r="N71" s="22" t="n"/>
      <c r="O71" s="23">
        <f>IF(A71="","",IF(COUNTIFS(tblControl[ID del soporte],A71,tblControl[Estado del control],"Abierto")&gt;0,"Sí","No"))</f>
        <v/>
      </c>
      <c r="P71" s="23">
        <f>IF(A71="","",IFERROR(_xlfn.XLOOKUP(1,(tblControl[ID del soporte]=A71)*(tblControl[Estado del control]="Abierto"),tblControl[ID de sesión],"",0,-1),""))</f>
        <v/>
      </c>
      <c r="Q71" s="24">
        <f>IF(A71="","",IF(B71&lt;&gt;"Tarjeta","",IFERROR(K71/G71,"")))</f>
        <v/>
      </c>
      <c r="R71" s="23">
        <f>IF(A71="","",IF(I71&lt;&gt;"Activo","No disponible",IF(O71="Sí","Asignada",IF(B71="Batería",IF(J71="","Sin revisar",IF(J71&lt;Resumen!$C$3,"Cargar","Preparada")),IF(B71="Tarjeta",IF(OR(G71="",K71=""),"Sin revisar",IF(L71="No","Pendiente de descarga",IF(M71="No","Pendiente de borrado",IF(Q71&lt;Resumen!$C$4,"Liberar espacio","Preparada")))),"Revisar tipo")))))</f>
        <v/>
      </c>
      <c r="S71" s="25">
        <f>IF(A71="","",IF(I71&lt;&gt;"Activo","Soporte no disponible",IF(O71="Sí","Asignado a "&amp;P71,IF(R71="Preparada","",IF(R71="Cargar","Recargar antes de asignar",IF(R71="Pendiente de descarga","Comprobar la descarga antes de borrar",IF(R71="Pendiente de borrado","Borrar después de verificar la descarga",IF(R71="Liberar espacio","Espacio libre inferior al mínimo","Completar la revisión"))))))))</f>
        <v/>
      </c>
      <c r="T71" s="26" t="n"/>
    </row>
    <row r="72" ht="22" customHeight="1">
      <c r="A72" s="20" t="n"/>
      <c r="B72" s="20" t="n"/>
      <c r="C72" s="20" t="n"/>
      <c r="D72" s="20" t="n"/>
      <c r="E72" s="20" t="n"/>
      <c r="F72" s="20" t="n"/>
      <c r="G72" s="21" t="n"/>
      <c r="H72" s="20" t="n"/>
      <c r="I72" s="20" t="n"/>
      <c r="J72" s="20" t="n"/>
      <c r="K72" s="21" t="n"/>
      <c r="L72" s="20" t="n"/>
      <c r="M72" s="20" t="n"/>
      <c r="N72" s="22" t="n"/>
      <c r="O72" s="23">
        <f>IF(A72="","",IF(COUNTIFS(tblControl[ID del soporte],A72,tblControl[Estado del control],"Abierto")&gt;0,"Sí","No"))</f>
        <v/>
      </c>
      <c r="P72" s="23">
        <f>IF(A72="","",IFERROR(_xlfn.XLOOKUP(1,(tblControl[ID del soporte]=A72)*(tblControl[Estado del control]="Abierto"),tblControl[ID de sesión],"",0,-1),""))</f>
        <v/>
      </c>
      <c r="Q72" s="24">
        <f>IF(A72="","",IF(B72&lt;&gt;"Tarjeta","",IFERROR(K72/G72,"")))</f>
        <v/>
      </c>
      <c r="R72" s="23">
        <f>IF(A72="","",IF(I72&lt;&gt;"Activo","No disponible",IF(O72="Sí","Asignada",IF(B72="Batería",IF(J72="","Sin revisar",IF(J72&lt;Resumen!$C$3,"Cargar","Preparada")),IF(B72="Tarjeta",IF(OR(G72="",K72=""),"Sin revisar",IF(L72="No","Pendiente de descarga",IF(M72="No","Pendiente de borrado",IF(Q72&lt;Resumen!$C$4,"Liberar espacio","Preparada")))),"Revisar tipo")))))</f>
        <v/>
      </c>
      <c r="S72" s="25">
        <f>IF(A72="","",IF(I72&lt;&gt;"Activo","Soporte no disponible",IF(O72="Sí","Asignado a "&amp;P72,IF(R72="Preparada","",IF(R72="Cargar","Recargar antes de asignar",IF(R72="Pendiente de descarga","Comprobar la descarga antes de borrar",IF(R72="Pendiente de borrado","Borrar después de verificar la descarga",IF(R72="Liberar espacio","Espacio libre inferior al mínimo","Completar la revisión"))))))))</f>
        <v/>
      </c>
      <c r="T72" s="26" t="n"/>
    </row>
    <row r="73" ht="22" customHeight="1">
      <c r="A73" s="20" t="n"/>
      <c r="B73" s="20" t="n"/>
      <c r="C73" s="20" t="n"/>
      <c r="D73" s="20" t="n"/>
      <c r="E73" s="20" t="n"/>
      <c r="F73" s="20" t="n"/>
      <c r="G73" s="21" t="n"/>
      <c r="H73" s="20" t="n"/>
      <c r="I73" s="20" t="n"/>
      <c r="J73" s="20" t="n"/>
      <c r="K73" s="21" t="n"/>
      <c r="L73" s="20" t="n"/>
      <c r="M73" s="20" t="n"/>
      <c r="N73" s="22" t="n"/>
      <c r="O73" s="23">
        <f>IF(A73="","",IF(COUNTIFS(tblControl[ID del soporte],A73,tblControl[Estado del control],"Abierto")&gt;0,"Sí","No"))</f>
        <v/>
      </c>
      <c r="P73" s="23">
        <f>IF(A73="","",IFERROR(_xlfn.XLOOKUP(1,(tblControl[ID del soporte]=A73)*(tblControl[Estado del control]="Abierto"),tblControl[ID de sesión],"",0,-1),""))</f>
        <v/>
      </c>
      <c r="Q73" s="24">
        <f>IF(A73="","",IF(B73&lt;&gt;"Tarjeta","",IFERROR(K73/G73,"")))</f>
        <v/>
      </c>
      <c r="R73" s="23">
        <f>IF(A73="","",IF(I73&lt;&gt;"Activo","No disponible",IF(O73="Sí","Asignada",IF(B73="Batería",IF(J73="","Sin revisar",IF(J73&lt;Resumen!$C$3,"Cargar","Preparada")),IF(B73="Tarjeta",IF(OR(G73="",K73=""),"Sin revisar",IF(L73="No","Pendiente de descarga",IF(M73="No","Pendiente de borrado",IF(Q73&lt;Resumen!$C$4,"Liberar espacio","Preparada")))),"Revisar tipo")))))</f>
        <v/>
      </c>
      <c r="S73" s="25">
        <f>IF(A73="","",IF(I73&lt;&gt;"Activo","Soporte no disponible",IF(O73="Sí","Asignado a "&amp;P73,IF(R73="Preparada","",IF(R73="Cargar","Recargar antes de asignar",IF(R73="Pendiente de descarga","Comprobar la descarga antes de borrar",IF(R73="Pendiente de borrado","Borrar después de verificar la descarga",IF(R73="Liberar espacio","Espacio libre inferior al mínimo","Completar la revisión"))))))))</f>
        <v/>
      </c>
      <c r="T73" s="26" t="n"/>
    </row>
    <row r="74" ht="22" customHeight="1">
      <c r="A74" s="20" t="n"/>
      <c r="B74" s="20" t="n"/>
      <c r="C74" s="20" t="n"/>
      <c r="D74" s="20" t="n"/>
      <c r="E74" s="20" t="n"/>
      <c r="F74" s="20" t="n"/>
      <c r="G74" s="21" t="n"/>
      <c r="H74" s="20" t="n"/>
      <c r="I74" s="20" t="n"/>
      <c r="J74" s="20" t="n"/>
      <c r="K74" s="21" t="n"/>
      <c r="L74" s="20" t="n"/>
      <c r="M74" s="20" t="n"/>
      <c r="N74" s="22" t="n"/>
      <c r="O74" s="23">
        <f>IF(A74="","",IF(COUNTIFS(tblControl[ID del soporte],A74,tblControl[Estado del control],"Abierto")&gt;0,"Sí","No"))</f>
        <v/>
      </c>
      <c r="P74" s="23">
        <f>IF(A74="","",IFERROR(_xlfn.XLOOKUP(1,(tblControl[ID del soporte]=A74)*(tblControl[Estado del control]="Abierto"),tblControl[ID de sesión],"",0,-1),""))</f>
        <v/>
      </c>
      <c r="Q74" s="24">
        <f>IF(A74="","",IF(B74&lt;&gt;"Tarjeta","",IFERROR(K74/G74,"")))</f>
        <v/>
      </c>
      <c r="R74" s="23">
        <f>IF(A74="","",IF(I74&lt;&gt;"Activo","No disponible",IF(O74="Sí","Asignada",IF(B74="Batería",IF(J74="","Sin revisar",IF(J74&lt;Resumen!$C$3,"Cargar","Preparada")),IF(B74="Tarjeta",IF(OR(G74="",K74=""),"Sin revisar",IF(L74="No","Pendiente de descarga",IF(M74="No","Pendiente de borrado",IF(Q74&lt;Resumen!$C$4,"Liberar espacio","Preparada")))),"Revisar tipo")))))</f>
        <v/>
      </c>
      <c r="S74" s="25">
        <f>IF(A74="","",IF(I74&lt;&gt;"Activo","Soporte no disponible",IF(O74="Sí","Asignado a "&amp;P74,IF(R74="Preparada","",IF(R74="Cargar","Recargar antes de asignar",IF(R74="Pendiente de descarga","Comprobar la descarga antes de borrar",IF(R74="Pendiente de borrado","Borrar después de verificar la descarga",IF(R74="Liberar espacio","Espacio libre inferior al mínimo","Completar la revisión"))))))))</f>
        <v/>
      </c>
      <c r="T74" s="26" t="n"/>
    </row>
    <row r="75" ht="22" customHeight="1">
      <c r="A75" s="20" t="n"/>
      <c r="B75" s="20" t="n"/>
      <c r="C75" s="20" t="n"/>
      <c r="D75" s="20" t="n"/>
      <c r="E75" s="20" t="n"/>
      <c r="F75" s="20" t="n"/>
      <c r="G75" s="21" t="n"/>
      <c r="H75" s="20" t="n"/>
      <c r="I75" s="20" t="n"/>
      <c r="J75" s="20" t="n"/>
      <c r="K75" s="21" t="n"/>
      <c r="L75" s="20" t="n"/>
      <c r="M75" s="20" t="n"/>
      <c r="N75" s="22" t="n"/>
      <c r="O75" s="23">
        <f>IF(A75="","",IF(COUNTIFS(tblControl[ID del soporte],A75,tblControl[Estado del control],"Abierto")&gt;0,"Sí","No"))</f>
        <v/>
      </c>
      <c r="P75" s="23">
        <f>IF(A75="","",IFERROR(_xlfn.XLOOKUP(1,(tblControl[ID del soporte]=A75)*(tblControl[Estado del control]="Abierto"),tblControl[ID de sesión],"",0,-1),""))</f>
        <v/>
      </c>
      <c r="Q75" s="24">
        <f>IF(A75="","",IF(B75&lt;&gt;"Tarjeta","",IFERROR(K75/G75,"")))</f>
        <v/>
      </c>
      <c r="R75" s="23">
        <f>IF(A75="","",IF(I75&lt;&gt;"Activo","No disponible",IF(O75="Sí","Asignada",IF(B75="Batería",IF(J75="","Sin revisar",IF(J75&lt;Resumen!$C$3,"Cargar","Preparada")),IF(B75="Tarjeta",IF(OR(G75="",K75=""),"Sin revisar",IF(L75="No","Pendiente de descarga",IF(M75="No","Pendiente de borrado",IF(Q75&lt;Resumen!$C$4,"Liberar espacio","Preparada")))),"Revisar tipo")))))</f>
        <v/>
      </c>
      <c r="S75" s="25">
        <f>IF(A75="","",IF(I75&lt;&gt;"Activo","Soporte no disponible",IF(O75="Sí","Asignado a "&amp;P75,IF(R75="Preparada","",IF(R75="Cargar","Recargar antes de asignar",IF(R75="Pendiente de descarga","Comprobar la descarga antes de borrar",IF(R75="Pendiente de borrado","Borrar después de verificar la descarga",IF(R75="Liberar espacio","Espacio libre inferior al mínimo","Completar la revisión"))))))))</f>
        <v/>
      </c>
      <c r="T75" s="26" t="n"/>
    </row>
    <row r="76" ht="22" customHeight="1">
      <c r="A76" s="20" t="n"/>
      <c r="B76" s="20" t="n"/>
      <c r="C76" s="20" t="n"/>
      <c r="D76" s="20" t="n"/>
      <c r="E76" s="20" t="n"/>
      <c r="F76" s="20" t="n"/>
      <c r="G76" s="21" t="n"/>
      <c r="H76" s="20" t="n"/>
      <c r="I76" s="20" t="n"/>
      <c r="J76" s="20" t="n"/>
      <c r="K76" s="21" t="n"/>
      <c r="L76" s="20" t="n"/>
      <c r="M76" s="20" t="n"/>
      <c r="N76" s="22" t="n"/>
      <c r="O76" s="23">
        <f>IF(A76="","",IF(COUNTIFS(tblControl[ID del soporte],A76,tblControl[Estado del control],"Abierto")&gt;0,"Sí","No"))</f>
        <v/>
      </c>
      <c r="P76" s="23">
        <f>IF(A76="","",IFERROR(_xlfn.XLOOKUP(1,(tblControl[ID del soporte]=A76)*(tblControl[Estado del control]="Abierto"),tblControl[ID de sesión],"",0,-1),""))</f>
        <v/>
      </c>
      <c r="Q76" s="24">
        <f>IF(A76="","",IF(B76&lt;&gt;"Tarjeta","",IFERROR(K76/G76,"")))</f>
        <v/>
      </c>
      <c r="R76" s="23">
        <f>IF(A76="","",IF(I76&lt;&gt;"Activo","No disponible",IF(O76="Sí","Asignada",IF(B76="Batería",IF(J76="","Sin revisar",IF(J76&lt;Resumen!$C$3,"Cargar","Preparada")),IF(B76="Tarjeta",IF(OR(G76="",K76=""),"Sin revisar",IF(L76="No","Pendiente de descarga",IF(M76="No","Pendiente de borrado",IF(Q76&lt;Resumen!$C$4,"Liberar espacio","Preparada")))),"Revisar tipo")))))</f>
        <v/>
      </c>
      <c r="S76" s="25">
        <f>IF(A76="","",IF(I76&lt;&gt;"Activo","Soporte no disponible",IF(O76="Sí","Asignado a "&amp;P76,IF(R76="Preparada","",IF(R76="Cargar","Recargar antes de asignar",IF(R76="Pendiente de descarga","Comprobar la descarga antes de borrar",IF(R76="Pendiente de borrado","Borrar después de verificar la descarga",IF(R76="Liberar espacio","Espacio libre inferior al mínimo","Completar la revisión"))))))))</f>
        <v/>
      </c>
      <c r="T76" s="26" t="n"/>
    </row>
    <row r="77" ht="22" customHeight="1">
      <c r="A77" s="20" t="n"/>
      <c r="B77" s="20" t="n"/>
      <c r="C77" s="20" t="n"/>
      <c r="D77" s="20" t="n"/>
      <c r="E77" s="20" t="n"/>
      <c r="F77" s="20" t="n"/>
      <c r="G77" s="21" t="n"/>
      <c r="H77" s="20" t="n"/>
      <c r="I77" s="20" t="n"/>
      <c r="J77" s="20" t="n"/>
      <c r="K77" s="21" t="n"/>
      <c r="L77" s="20" t="n"/>
      <c r="M77" s="20" t="n"/>
      <c r="N77" s="22" t="n"/>
      <c r="O77" s="23">
        <f>IF(A77="","",IF(COUNTIFS(tblControl[ID del soporte],A77,tblControl[Estado del control],"Abierto")&gt;0,"Sí","No"))</f>
        <v/>
      </c>
      <c r="P77" s="23">
        <f>IF(A77="","",IFERROR(_xlfn.XLOOKUP(1,(tblControl[ID del soporte]=A77)*(tblControl[Estado del control]="Abierto"),tblControl[ID de sesión],"",0,-1),""))</f>
        <v/>
      </c>
      <c r="Q77" s="24">
        <f>IF(A77="","",IF(B77&lt;&gt;"Tarjeta","",IFERROR(K77/G77,"")))</f>
        <v/>
      </c>
      <c r="R77" s="23">
        <f>IF(A77="","",IF(I77&lt;&gt;"Activo","No disponible",IF(O77="Sí","Asignada",IF(B77="Batería",IF(J77="","Sin revisar",IF(J77&lt;Resumen!$C$3,"Cargar","Preparada")),IF(B77="Tarjeta",IF(OR(G77="",K77=""),"Sin revisar",IF(L77="No","Pendiente de descarga",IF(M77="No","Pendiente de borrado",IF(Q77&lt;Resumen!$C$4,"Liberar espacio","Preparada")))),"Revisar tipo")))))</f>
        <v/>
      </c>
      <c r="S77" s="25">
        <f>IF(A77="","",IF(I77&lt;&gt;"Activo","Soporte no disponible",IF(O77="Sí","Asignado a "&amp;P77,IF(R77="Preparada","",IF(R77="Cargar","Recargar antes de asignar",IF(R77="Pendiente de descarga","Comprobar la descarga antes de borrar",IF(R77="Pendiente de borrado","Borrar después de verificar la descarga",IF(R77="Liberar espacio","Espacio libre inferior al mínimo","Completar la revisión"))))))))</f>
        <v/>
      </c>
      <c r="T77" s="26" t="n"/>
    </row>
    <row r="78" ht="22" customHeight="1">
      <c r="A78" s="20" t="n"/>
      <c r="B78" s="20" t="n"/>
      <c r="C78" s="20" t="n"/>
      <c r="D78" s="20" t="n"/>
      <c r="E78" s="20" t="n"/>
      <c r="F78" s="20" t="n"/>
      <c r="G78" s="21" t="n"/>
      <c r="H78" s="20" t="n"/>
      <c r="I78" s="20" t="n"/>
      <c r="J78" s="20" t="n"/>
      <c r="K78" s="21" t="n"/>
      <c r="L78" s="20" t="n"/>
      <c r="M78" s="20" t="n"/>
      <c r="N78" s="22" t="n"/>
      <c r="O78" s="23">
        <f>IF(A78="","",IF(COUNTIFS(tblControl[ID del soporte],A78,tblControl[Estado del control],"Abierto")&gt;0,"Sí","No"))</f>
        <v/>
      </c>
      <c r="P78" s="23">
        <f>IF(A78="","",IFERROR(_xlfn.XLOOKUP(1,(tblControl[ID del soporte]=A78)*(tblControl[Estado del control]="Abierto"),tblControl[ID de sesión],"",0,-1),""))</f>
        <v/>
      </c>
      <c r="Q78" s="24">
        <f>IF(A78="","",IF(B78&lt;&gt;"Tarjeta","",IFERROR(K78/G78,"")))</f>
        <v/>
      </c>
      <c r="R78" s="23">
        <f>IF(A78="","",IF(I78&lt;&gt;"Activo","No disponible",IF(O78="Sí","Asignada",IF(B78="Batería",IF(J78="","Sin revisar",IF(J78&lt;Resumen!$C$3,"Cargar","Preparada")),IF(B78="Tarjeta",IF(OR(G78="",K78=""),"Sin revisar",IF(L78="No","Pendiente de descarga",IF(M78="No","Pendiente de borrado",IF(Q78&lt;Resumen!$C$4,"Liberar espacio","Preparada")))),"Revisar tipo")))))</f>
        <v/>
      </c>
      <c r="S78" s="25">
        <f>IF(A78="","",IF(I78&lt;&gt;"Activo","Soporte no disponible",IF(O78="Sí","Asignado a "&amp;P78,IF(R78="Preparada","",IF(R78="Cargar","Recargar antes de asignar",IF(R78="Pendiente de descarga","Comprobar la descarga antes de borrar",IF(R78="Pendiente de borrado","Borrar después de verificar la descarga",IF(R78="Liberar espacio","Espacio libre inferior al mínimo","Completar la revisión"))))))))</f>
        <v/>
      </c>
      <c r="T78" s="26" t="n"/>
    </row>
    <row r="79" ht="22" customHeight="1">
      <c r="A79" s="20" t="n"/>
      <c r="B79" s="20" t="n"/>
      <c r="C79" s="20" t="n"/>
      <c r="D79" s="20" t="n"/>
      <c r="E79" s="20" t="n"/>
      <c r="F79" s="20" t="n"/>
      <c r="G79" s="21" t="n"/>
      <c r="H79" s="20" t="n"/>
      <c r="I79" s="20" t="n"/>
      <c r="J79" s="20" t="n"/>
      <c r="K79" s="21" t="n"/>
      <c r="L79" s="20" t="n"/>
      <c r="M79" s="20" t="n"/>
      <c r="N79" s="22" t="n"/>
      <c r="O79" s="23">
        <f>IF(A79="","",IF(COUNTIFS(tblControl[ID del soporte],A79,tblControl[Estado del control],"Abierto")&gt;0,"Sí","No"))</f>
        <v/>
      </c>
      <c r="P79" s="23">
        <f>IF(A79="","",IFERROR(_xlfn.XLOOKUP(1,(tblControl[ID del soporte]=A79)*(tblControl[Estado del control]="Abierto"),tblControl[ID de sesión],"",0,-1),""))</f>
        <v/>
      </c>
      <c r="Q79" s="24">
        <f>IF(A79="","",IF(B79&lt;&gt;"Tarjeta","",IFERROR(K79/G79,"")))</f>
        <v/>
      </c>
      <c r="R79" s="23">
        <f>IF(A79="","",IF(I79&lt;&gt;"Activo","No disponible",IF(O79="Sí","Asignada",IF(B79="Batería",IF(J79="","Sin revisar",IF(J79&lt;Resumen!$C$3,"Cargar","Preparada")),IF(B79="Tarjeta",IF(OR(G79="",K79=""),"Sin revisar",IF(L79="No","Pendiente de descarga",IF(M79="No","Pendiente de borrado",IF(Q79&lt;Resumen!$C$4,"Liberar espacio","Preparada")))),"Revisar tipo")))))</f>
        <v/>
      </c>
      <c r="S79" s="25">
        <f>IF(A79="","",IF(I79&lt;&gt;"Activo","Soporte no disponible",IF(O79="Sí","Asignado a "&amp;P79,IF(R79="Preparada","",IF(R79="Cargar","Recargar antes de asignar",IF(R79="Pendiente de descarga","Comprobar la descarga antes de borrar",IF(R79="Pendiente de borrado","Borrar después de verificar la descarga",IF(R79="Liberar espacio","Espacio libre inferior al mínimo","Completar la revisión"))))))))</f>
        <v/>
      </c>
      <c r="T79" s="26" t="n"/>
    </row>
    <row r="80" ht="22" customHeight="1">
      <c r="A80" s="20" t="n"/>
      <c r="B80" s="20" t="n"/>
      <c r="C80" s="20" t="n"/>
      <c r="D80" s="20" t="n"/>
      <c r="E80" s="20" t="n"/>
      <c r="F80" s="20" t="n"/>
      <c r="G80" s="21" t="n"/>
      <c r="H80" s="20" t="n"/>
      <c r="I80" s="20" t="n"/>
      <c r="J80" s="20" t="n"/>
      <c r="K80" s="21" t="n"/>
      <c r="L80" s="20" t="n"/>
      <c r="M80" s="20" t="n"/>
      <c r="N80" s="22" t="n"/>
      <c r="O80" s="23">
        <f>IF(A80="","",IF(COUNTIFS(tblControl[ID del soporte],A80,tblControl[Estado del control],"Abierto")&gt;0,"Sí","No"))</f>
        <v/>
      </c>
      <c r="P80" s="23">
        <f>IF(A80="","",IFERROR(_xlfn.XLOOKUP(1,(tblControl[ID del soporte]=A80)*(tblControl[Estado del control]="Abierto"),tblControl[ID de sesión],"",0,-1),""))</f>
        <v/>
      </c>
      <c r="Q80" s="24">
        <f>IF(A80="","",IF(B80&lt;&gt;"Tarjeta","",IFERROR(K80/G80,"")))</f>
        <v/>
      </c>
      <c r="R80" s="23">
        <f>IF(A80="","",IF(I80&lt;&gt;"Activo","No disponible",IF(O80="Sí","Asignada",IF(B80="Batería",IF(J80="","Sin revisar",IF(J80&lt;Resumen!$C$3,"Cargar","Preparada")),IF(B80="Tarjeta",IF(OR(G80="",K80=""),"Sin revisar",IF(L80="No","Pendiente de descarga",IF(M80="No","Pendiente de borrado",IF(Q80&lt;Resumen!$C$4,"Liberar espacio","Preparada")))),"Revisar tipo")))))</f>
        <v/>
      </c>
      <c r="S80" s="25">
        <f>IF(A80="","",IF(I80&lt;&gt;"Activo","Soporte no disponible",IF(O80="Sí","Asignado a "&amp;P80,IF(R80="Preparada","",IF(R80="Cargar","Recargar antes de asignar",IF(R80="Pendiente de descarga","Comprobar la descarga antes de borrar",IF(R80="Pendiente de borrado","Borrar después de verificar la descarga",IF(R80="Liberar espacio","Espacio libre inferior al mínimo","Completar la revisión"))))))))</f>
        <v/>
      </c>
      <c r="T80" s="26" t="n"/>
    </row>
    <row r="81" ht="22" customHeight="1">
      <c r="A81" s="20" t="n"/>
      <c r="B81" s="20" t="n"/>
      <c r="C81" s="20" t="n"/>
      <c r="D81" s="20" t="n"/>
      <c r="E81" s="20" t="n"/>
      <c r="F81" s="20" t="n"/>
      <c r="G81" s="21" t="n"/>
      <c r="H81" s="20" t="n"/>
      <c r="I81" s="20" t="n"/>
      <c r="J81" s="20" t="n"/>
      <c r="K81" s="21" t="n"/>
      <c r="L81" s="20" t="n"/>
      <c r="M81" s="20" t="n"/>
      <c r="N81" s="22" t="n"/>
      <c r="O81" s="23">
        <f>IF(A81="","",IF(COUNTIFS(tblControl[ID del soporte],A81,tblControl[Estado del control],"Abierto")&gt;0,"Sí","No"))</f>
        <v/>
      </c>
      <c r="P81" s="23">
        <f>IF(A81="","",IFERROR(_xlfn.XLOOKUP(1,(tblControl[ID del soporte]=A81)*(tblControl[Estado del control]="Abierto"),tblControl[ID de sesión],"",0,-1),""))</f>
        <v/>
      </c>
      <c r="Q81" s="24">
        <f>IF(A81="","",IF(B81&lt;&gt;"Tarjeta","",IFERROR(K81/G81,"")))</f>
        <v/>
      </c>
      <c r="R81" s="23">
        <f>IF(A81="","",IF(I81&lt;&gt;"Activo","No disponible",IF(O81="Sí","Asignada",IF(B81="Batería",IF(J81="","Sin revisar",IF(J81&lt;Resumen!$C$3,"Cargar","Preparada")),IF(B81="Tarjeta",IF(OR(G81="",K81=""),"Sin revisar",IF(L81="No","Pendiente de descarga",IF(M81="No","Pendiente de borrado",IF(Q81&lt;Resumen!$C$4,"Liberar espacio","Preparada")))),"Revisar tipo")))))</f>
        <v/>
      </c>
      <c r="S81" s="25">
        <f>IF(A81="","",IF(I81&lt;&gt;"Activo","Soporte no disponible",IF(O81="Sí","Asignado a "&amp;P81,IF(R81="Preparada","",IF(R81="Cargar","Recargar antes de asignar",IF(R81="Pendiente de descarga","Comprobar la descarga antes de borrar",IF(R81="Pendiente de borrado","Borrar después de verificar la descarga",IF(R81="Liberar espacio","Espacio libre inferior al mínimo","Completar la revisión"))))))))</f>
        <v/>
      </c>
      <c r="T81" s="26" t="n"/>
    </row>
    <row r="82" ht="22" customHeight="1">
      <c r="A82" s="20" t="n"/>
      <c r="B82" s="20" t="n"/>
      <c r="C82" s="20" t="n"/>
      <c r="D82" s="20" t="n"/>
      <c r="E82" s="20" t="n"/>
      <c r="F82" s="20" t="n"/>
      <c r="G82" s="21" t="n"/>
      <c r="H82" s="20" t="n"/>
      <c r="I82" s="20" t="n"/>
      <c r="J82" s="20" t="n"/>
      <c r="K82" s="21" t="n"/>
      <c r="L82" s="20" t="n"/>
      <c r="M82" s="20" t="n"/>
      <c r="N82" s="22" t="n"/>
      <c r="O82" s="23">
        <f>IF(A82="","",IF(COUNTIFS(tblControl[ID del soporte],A82,tblControl[Estado del control],"Abierto")&gt;0,"Sí","No"))</f>
        <v/>
      </c>
      <c r="P82" s="23">
        <f>IF(A82="","",IFERROR(_xlfn.XLOOKUP(1,(tblControl[ID del soporte]=A82)*(tblControl[Estado del control]="Abierto"),tblControl[ID de sesión],"",0,-1),""))</f>
        <v/>
      </c>
      <c r="Q82" s="24">
        <f>IF(A82="","",IF(B82&lt;&gt;"Tarjeta","",IFERROR(K82/G82,"")))</f>
        <v/>
      </c>
      <c r="R82" s="23">
        <f>IF(A82="","",IF(I82&lt;&gt;"Activo","No disponible",IF(O82="Sí","Asignada",IF(B82="Batería",IF(J82="","Sin revisar",IF(J82&lt;Resumen!$C$3,"Cargar","Preparada")),IF(B82="Tarjeta",IF(OR(G82="",K82=""),"Sin revisar",IF(L82="No","Pendiente de descarga",IF(M82="No","Pendiente de borrado",IF(Q82&lt;Resumen!$C$4,"Liberar espacio","Preparada")))),"Revisar tipo")))))</f>
        <v/>
      </c>
      <c r="S82" s="25">
        <f>IF(A82="","",IF(I82&lt;&gt;"Activo","Soporte no disponible",IF(O82="Sí","Asignado a "&amp;P82,IF(R82="Preparada","",IF(R82="Cargar","Recargar antes de asignar",IF(R82="Pendiente de descarga","Comprobar la descarga antes de borrar",IF(R82="Pendiente de borrado","Borrar después de verificar la descarga",IF(R82="Liberar espacio","Espacio libre inferior al mínimo","Completar la revisión"))))))))</f>
        <v/>
      </c>
      <c r="T82" s="26" t="n"/>
    </row>
    <row r="83" ht="22" customHeight="1">
      <c r="A83" s="20" t="n"/>
      <c r="B83" s="20" t="n"/>
      <c r="C83" s="20" t="n"/>
      <c r="D83" s="20" t="n"/>
      <c r="E83" s="20" t="n"/>
      <c r="F83" s="20" t="n"/>
      <c r="G83" s="21" t="n"/>
      <c r="H83" s="20" t="n"/>
      <c r="I83" s="20" t="n"/>
      <c r="J83" s="20" t="n"/>
      <c r="K83" s="21" t="n"/>
      <c r="L83" s="20" t="n"/>
      <c r="M83" s="20" t="n"/>
      <c r="N83" s="22" t="n"/>
      <c r="O83" s="23">
        <f>IF(A83="","",IF(COUNTIFS(tblControl[ID del soporte],A83,tblControl[Estado del control],"Abierto")&gt;0,"Sí","No"))</f>
        <v/>
      </c>
      <c r="P83" s="23">
        <f>IF(A83="","",IFERROR(_xlfn.XLOOKUP(1,(tblControl[ID del soporte]=A83)*(tblControl[Estado del control]="Abierto"),tblControl[ID de sesión],"",0,-1),""))</f>
        <v/>
      </c>
      <c r="Q83" s="24">
        <f>IF(A83="","",IF(B83&lt;&gt;"Tarjeta","",IFERROR(K83/G83,"")))</f>
        <v/>
      </c>
      <c r="R83" s="23">
        <f>IF(A83="","",IF(I83&lt;&gt;"Activo","No disponible",IF(O83="Sí","Asignada",IF(B83="Batería",IF(J83="","Sin revisar",IF(J83&lt;Resumen!$C$3,"Cargar","Preparada")),IF(B83="Tarjeta",IF(OR(G83="",K83=""),"Sin revisar",IF(L83="No","Pendiente de descarga",IF(M83="No","Pendiente de borrado",IF(Q83&lt;Resumen!$C$4,"Liberar espacio","Preparada")))),"Revisar tipo")))))</f>
        <v/>
      </c>
      <c r="S83" s="25">
        <f>IF(A83="","",IF(I83&lt;&gt;"Activo","Soporte no disponible",IF(O83="Sí","Asignado a "&amp;P83,IF(R83="Preparada","",IF(R83="Cargar","Recargar antes de asignar",IF(R83="Pendiente de descarga","Comprobar la descarga antes de borrar",IF(R83="Pendiente de borrado","Borrar después de verificar la descarga",IF(R83="Liberar espacio","Espacio libre inferior al mínimo","Completar la revisión"))))))))</f>
        <v/>
      </c>
      <c r="T83" s="26" t="n"/>
    </row>
    <row r="84" ht="22" customHeight="1">
      <c r="A84" s="20" t="n"/>
      <c r="B84" s="20" t="n"/>
      <c r="C84" s="20" t="n"/>
      <c r="D84" s="20" t="n"/>
      <c r="E84" s="20" t="n"/>
      <c r="F84" s="20" t="n"/>
      <c r="G84" s="21" t="n"/>
      <c r="H84" s="20" t="n"/>
      <c r="I84" s="20" t="n"/>
      <c r="J84" s="20" t="n"/>
      <c r="K84" s="21" t="n"/>
      <c r="L84" s="20" t="n"/>
      <c r="M84" s="20" t="n"/>
      <c r="N84" s="22" t="n"/>
      <c r="O84" s="23">
        <f>IF(A84="","",IF(COUNTIFS(tblControl[ID del soporte],A84,tblControl[Estado del control],"Abierto")&gt;0,"Sí","No"))</f>
        <v/>
      </c>
      <c r="P84" s="23">
        <f>IF(A84="","",IFERROR(_xlfn.XLOOKUP(1,(tblControl[ID del soporte]=A84)*(tblControl[Estado del control]="Abierto"),tblControl[ID de sesión],"",0,-1),""))</f>
        <v/>
      </c>
      <c r="Q84" s="24">
        <f>IF(A84="","",IF(B84&lt;&gt;"Tarjeta","",IFERROR(K84/G84,"")))</f>
        <v/>
      </c>
      <c r="R84" s="23">
        <f>IF(A84="","",IF(I84&lt;&gt;"Activo","No disponible",IF(O84="Sí","Asignada",IF(B84="Batería",IF(J84="","Sin revisar",IF(J84&lt;Resumen!$C$3,"Cargar","Preparada")),IF(B84="Tarjeta",IF(OR(G84="",K84=""),"Sin revisar",IF(L84="No","Pendiente de descarga",IF(M84="No","Pendiente de borrado",IF(Q84&lt;Resumen!$C$4,"Liberar espacio","Preparada")))),"Revisar tipo")))))</f>
        <v/>
      </c>
      <c r="S84" s="25">
        <f>IF(A84="","",IF(I84&lt;&gt;"Activo","Soporte no disponible",IF(O84="Sí","Asignado a "&amp;P84,IF(R84="Preparada","",IF(R84="Cargar","Recargar antes de asignar",IF(R84="Pendiente de descarga","Comprobar la descarga antes de borrar",IF(R84="Pendiente de borrado","Borrar después de verificar la descarga",IF(R84="Liberar espacio","Espacio libre inferior al mínimo","Completar la revisión"))))))))</f>
        <v/>
      </c>
      <c r="T84" s="26" t="n"/>
    </row>
    <row r="85" ht="22" customHeight="1">
      <c r="A85" s="20" t="n"/>
      <c r="B85" s="20" t="n"/>
      <c r="C85" s="20" t="n"/>
      <c r="D85" s="20" t="n"/>
      <c r="E85" s="20" t="n"/>
      <c r="F85" s="20" t="n"/>
      <c r="G85" s="21" t="n"/>
      <c r="H85" s="20" t="n"/>
      <c r="I85" s="20" t="n"/>
      <c r="J85" s="20" t="n"/>
      <c r="K85" s="21" t="n"/>
      <c r="L85" s="20" t="n"/>
      <c r="M85" s="20" t="n"/>
      <c r="N85" s="22" t="n"/>
      <c r="O85" s="23">
        <f>IF(A85="","",IF(COUNTIFS(tblControl[ID del soporte],A85,tblControl[Estado del control],"Abierto")&gt;0,"Sí","No"))</f>
        <v/>
      </c>
      <c r="P85" s="23">
        <f>IF(A85="","",IFERROR(_xlfn.XLOOKUP(1,(tblControl[ID del soporte]=A85)*(tblControl[Estado del control]="Abierto"),tblControl[ID de sesión],"",0,-1),""))</f>
        <v/>
      </c>
      <c r="Q85" s="24">
        <f>IF(A85="","",IF(B85&lt;&gt;"Tarjeta","",IFERROR(K85/G85,"")))</f>
        <v/>
      </c>
      <c r="R85" s="23">
        <f>IF(A85="","",IF(I85&lt;&gt;"Activo","No disponible",IF(O85="Sí","Asignada",IF(B85="Batería",IF(J85="","Sin revisar",IF(J85&lt;Resumen!$C$3,"Cargar","Preparada")),IF(B85="Tarjeta",IF(OR(G85="",K85=""),"Sin revisar",IF(L85="No","Pendiente de descarga",IF(M85="No","Pendiente de borrado",IF(Q85&lt;Resumen!$C$4,"Liberar espacio","Preparada")))),"Revisar tipo")))))</f>
        <v/>
      </c>
      <c r="S85" s="25">
        <f>IF(A85="","",IF(I85&lt;&gt;"Activo","Soporte no disponible",IF(O85="Sí","Asignado a "&amp;P85,IF(R85="Preparada","",IF(R85="Cargar","Recargar antes de asignar",IF(R85="Pendiente de descarga","Comprobar la descarga antes de borrar",IF(R85="Pendiente de borrado","Borrar después de verificar la descarga",IF(R85="Liberar espacio","Espacio libre inferior al mínimo","Completar la revisión"))))))))</f>
        <v/>
      </c>
      <c r="T85" s="26" t="n"/>
    </row>
    <row r="86" ht="22" customHeight="1">
      <c r="A86" s="20" t="n"/>
      <c r="B86" s="20" t="n"/>
      <c r="C86" s="20" t="n"/>
      <c r="D86" s="20" t="n"/>
      <c r="E86" s="20" t="n"/>
      <c r="F86" s="20" t="n"/>
      <c r="G86" s="21" t="n"/>
      <c r="H86" s="20" t="n"/>
      <c r="I86" s="20" t="n"/>
      <c r="J86" s="20" t="n"/>
      <c r="K86" s="21" t="n"/>
      <c r="L86" s="20" t="n"/>
      <c r="M86" s="20" t="n"/>
      <c r="N86" s="22" t="n"/>
      <c r="O86" s="23">
        <f>IF(A86="","",IF(COUNTIFS(tblControl[ID del soporte],A86,tblControl[Estado del control],"Abierto")&gt;0,"Sí","No"))</f>
        <v/>
      </c>
      <c r="P86" s="23">
        <f>IF(A86="","",IFERROR(_xlfn.XLOOKUP(1,(tblControl[ID del soporte]=A86)*(tblControl[Estado del control]="Abierto"),tblControl[ID de sesión],"",0,-1),""))</f>
        <v/>
      </c>
      <c r="Q86" s="24">
        <f>IF(A86="","",IF(B86&lt;&gt;"Tarjeta","",IFERROR(K86/G86,"")))</f>
        <v/>
      </c>
      <c r="R86" s="23">
        <f>IF(A86="","",IF(I86&lt;&gt;"Activo","No disponible",IF(O86="Sí","Asignada",IF(B86="Batería",IF(J86="","Sin revisar",IF(J86&lt;Resumen!$C$3,"Cargar","Preparada")),IF(B86="Tarjeta",IF(OR(G86="",K86=""),"Sin revisar",IF(L86="No","Pendiente de descarga",IF(M86="No","Pendiente de borrado",IF(Q86&lt;Resumen!$C$4,"Liberar espacio","Preparada")))),"Revisar tipo")))))</f>
        <v/>
      </c>
      <c r="S86" s="25">
        <f>IF(A86="","",IF(I86&lt;&gt;"Activo","Soporte no disponible",IF(O86="Sí","Asignado a "&amp;P86,IF(R86="Preparada","",IF(R86="Cargar","Recargar antes de asignar",IF(R86="Pendiente de descarga","Comprobar la descarga antes de borrar",IF(R86="Pendiente de borrado","Borrar después de verificar la descarga",IF(R86="Liberar espacio","Espacio libre inferior al mínimo","Completar la revisión"))))))))</f>
        <v/>
      </c>
      <c r="T86" s="26" t="n"/>
    </row>
    <row r="87" ht="22" customHeight="1">
      <c r="A87" s="20" t="n"/>
      <c r="B87" s="20" t="n"/>
      <c r="C87" s="20" t="n"/>
      <c r="D87" s="20" t="n"/>
      <c r="E87" s="20" t="n"/>
      <c r="F87" s="20" t="n"/>
      <c r="G87" s="21" t="n"/>
      <c r="H87" s="20" t="n"/>
      <c r="I87" s="20" t="n"/>
      <c r="J87" s="20" t="n"/>
      <c r="K87" s="21" t="n"/>
      <c r="L87" s="20" t="n"/>
      <c r="M87" s="20" t="n"/>
      <c r="N87" s="22" t="n"/>
      <c r="O87" s="23">
        <f>IF(A87="","",IF(COUNTIFS(tblControl[ID del soporte],A87,tblControl[Estado del control],"Abierto")&gt;0,"Sí","No"))</f>
        <v/>
      </c>
      <c r="P87" s="23">
        <f>IF(A87="","",IFERROR(_xlfn.XLOOKUP(1,(tblControl[ID del soporte]=A87)*(tblControl[Estado del control]="Abierto"),tblControl[ID de sesión],"",0,-1),""))</f>
        <v/>
      </c>
      <c r="Q87" s="24">
        <f>IF(A87="","",IF(B87&lt;&gt;"Tarjeta","",IFERROR(K87/G87,"")))</f>
        <v/>
      </c>
      <c r="R87" s="23">
        <f>IF(A87="","",IF(I87&lt;&gt;"Activo","No disponible",IF(O87="Sí","Asignada",IF(B87="Batería",IF(J87="","Sin revisar",IF(J87&lt;Resumen!$C$3,"Cargar","Preparada")),IF(B87="Tarjeta",IF(OR(G87="",K87=""),"Sin revisar",IF(L87="No","Pendiente de descarga",IF(M87="No","Pendiente de borrado",IF(Q87&lt;Resumen!$C$4,"Liberar espacio","Preparada")))),"Revisar tipo")))))</f>
        <v/>
      </c>
      <c r="S87" s="25">
        <f>IF(A87="","",IF(I87&lt;&gt;"Activo","Soporte no disponible",IF(O87="Sí","Asignado a "&amp;P87,IF(R87="Preparada","",IF(R87="Cargar","Recargar antes de asignar",IF(R87="Pendiente de descarga","Comprobar la descarga antes de borrar",IF(R87="Pendiente de borrado","Borrar después de verificar la descarga",IF(R87="Liberar espacio","Espacio libre inferior al mínimo","Completar la revisión"))))))))</f>
        <v/>
      </c>
      <c r="T87" s="26" t="n"/>
    </row>
    <row r="88" ht="22" customHeight="1">
      <c r="A88" s="20" t="n"/>
      <c r="B88" s="20" t="n"/>
      <c r="C88" s="20" t="n"/>
      <c r="D88" s="20" t="n"/>
      <c r="E88" s="20" t="n"/>
      <c r="F88" s="20" t="n"/>
      <c r="G88" s="21" t="n"/>
      <c r="H88" s="20" t="n"/>
      <c r="I88" s="20" t="n"/>
      <c r="J88" s="20" t="n"/>
      <c r="K88" s="21" t="n"/>
      <c r="L88" s="20" t="n"/>
      <c r="M88" s="20" t="n"/>
      <c r="N88" s="22" t="n"/>
      <c r="O88" s="23">
        <f>IF(A88="","",IF(COUNTIFS(tblControl[ID del soporte],A88,tblControl[Estado del control],"Abierto")&gt;0,"Sí","No"))</f>
        <v/>
      </c>
      <c r="P88" s="23">
        <f>IF(A88="","",IFERROR(_xlfn.XLOOKUP(1,(tblControl[ID del soporte]=A88)*(tblControl[Estado del control]="Abierto"),tblControl[ID de sesión],"",0,-1),""))</f>
        <v/>
      </c>
      <c r="Q88" s="24">
        <f>IF(A88="","",IF(B88&lt;&gt;"Tarjeta","",IFERROR(K88/G88,"")))</f>
        <v/>
      </c>
      <c r="R88" s="23">
        <f>IF(A88="","",IF(I88&lt;&gt;"Activo","No disponible",IF(O88="Sí","Asignada",IF(B88="Batería",IF(J88="","Sin revisar",IF(J88&lt;Resumen!$C$3,"Cargar","Preparada")),IF(B88="Tarjeta",IF(OR(G88="",K88=""),"Sin revisar",IF(L88="No","Pendiente de descarga",IF(M88="No","Pendiente de borrado",IF(Q88&lt;Resumen!$C$4,"Liberar espacio","Preparada")))),"Revisar tipo")))))</f>
        <v/>
      </c>
      <c r="S88" s="25">
        <f>IF(A88="","",IF(I88&lt;&gt;"Activo","Soporte no disponible",IF(O88="Sí","Asignado a "&amp;P88,IF(R88="Preparada","",IF(R88="Cargar","Recargar antes de asignar",IF(R88="Pendiente de descarga","Comprobar la descarga antes de borrar",IF(R88="Pendiente de borrado","Borrar después de verificar la descarga",IF(R88="Liberar espacio","Espacio libre inferior al mínimo","Completar la revisión"))))))))</f>
        <v/>
      </c>
      <c r="T88" s="26" t="n"/>
    </row>
    <row r="89" ht="22" customHeight="1">
      <c r="A89" s="20" t="n"/>
      <c r="B89" s="20" t="n"/>
      <c r="C89" s="20" t="n"/>
      <c r="D89" s="20" t="n"/>
      <c r="E89" s="20" t="n"/>
      <c r="F89" s="20" t="n"/>
      <c r="G89" s="21" t="n"/>
      <c r="H89" s="20" t="n"/>
      <c r="I89" s="20" t="n"/>
      <c r="J89" s="20" t="n"/>
      <c r="K89" s="21" t="n"/>
      <c r="L89" s="20" t="n"/>
      <c r="M89" s="20" t="n"/>
      <c r="N89" s="22" t="n"/>
      <c r="O89" s="23">
        <f>IF(A89="","",IF(COUNTIFS(tblControl[ID del soporte],A89,tblControl[Estado del control],"Abierto")&gt;0,"Sí","No"))</f>
        <v/>
      </c>
      <c r="P89" s="23">
        <f>IF(A89="","",IFERROR(_xlfn.XLOOKUP(1,(tblControl[ID del soporte]=A89)*(tblControl[Estado del control]="Abierto"),tblControl[ID de sesión],"",0,-1),""))</f>
        <v/>
      </c>
      <c r="Q89" s="24">
        <f>IF(A89="","",IF(B89&lt;&gt;"Tarjeta","",IFERROR(K89/G89,"")))</f>
        <v/>
      </c>
      <c r="R89" s="23">
        <f>IF(A89="","",IF(I89&lt;&gt;"Activo","No disponible",IF(O89="Sí","Asignada",IF(B89="Batería",IF(J89="","Sin revisar",IF(J89&lt;Resumen!$C$3,"Cargar","Preparada")),IF(B89="Tarjeta",IF(OR(G89="",K89=""),"Sin revisar",IF(L89="No","Pendiente de descarga",IF(M89="No","Pendiente de borrado",IF(Q89&lt;Resumen!$C$4,"Liberar espacio","Preparada")))),"Revisar tipo")))))</f>
        <v/>
      </c>
      <c r="S89" s="25">
        <f>IF(A89="","",IF(I89&lt;&gt;"Activo","Soporte no disponible",IF(O89="Sí","Asignado a "&amp;P89,IF(R89="Preparada","",IF(R89="Cargar","Recargar antes de asignar",IF(R89="Pendiente de descarga","Comprobar la descarga antes de borrar",IF(R89="Pendiente de borrado","Borrar después de verificar la descarga",IF(R89="Liberar espacio","Espacio libre inferior al mínimo","Completar la revisión"))))))))</f>
        <v/>
      </c>
      <c r="T89" s="26" t="n"/>
    </row>
    <row r="90" ht="22" customHeight="1">
      <c r="A90" s="20" t="n"/>
      <c r="B90" s="20" t="n"/>
      <c r="C90" s="20" t="n"/>
      <c r="D90" s="20" t="n"/>
      <c r="E90" s="20" t="n"/>
      <c r="F90" s="20" t="n"/>
      <c r="G90" s="21" t="n"/>
      <c r="H90" s="20" t="n"/>
      <c r="I90" s="20" t="n"/>
      <c r="J90" s="20" t="n"/>
      <c r="K90" s="21" t="n"/>
      <c r="L90" s="20" t="n"/>
      <c r="M90" s="20" t="n"/>
      <c r="N90" s="22" t="n"/>
      <c r="O90" s="23">
        <f>IF(A90="","",IF(COUNTIFS(tblControl[ID del soporte],A90,tblControl[Estado del control],"Abierto")&gt;0,"Sí","No"))</f>
        <v/>
      </c>
      <c r="P90" s="23">
        <f>IF(A90="","",IFERROR(_xlfn.XLOOKUP(1,(tblControl[ID del soporte]=A90)*(tblControl[Estado del control]="Abierto"),tblControl[ID de sesión],"",0,-1),""))</f>
        <v/>
      </c>
      <c r="Q90" s="24">
        <f>IF(A90="","",IF(B90&lt;&gt;"Tarjeta","",IFERROR(K90/G90,"")))</f>
        <v/>
      </c>
      <c r="R90" s="23">
        <f>IF(A90="","",IF(I90&lt;&gt;"Activo","No disponible",IF(O90="Sí","Asignada",IF(B90="Batería",IF(J90="","Sin revisar",IF(J90&lt;Resumen!$C$3,"Cargar","Preparada")),IF(B90="Tarjeta",IF(OR(G90="",K90=""),"Sin revisar",IF(L90="No","Pendiente de descarga",IF(M90="No","Pendiente de borrado",IF(Q90&lt;Resumen!$C$4,"Liberar espacio","Preparada")))),"Revisar tipo")))))</f>
        <v/>
      </c>
      <c r="S90" s="25">
        <f>IF(A90="","",IF(I90&lt;&gt;"Activo","Soporte no disponible",IF(O90="Sí","Asignado a "&amp;P90,IF(R90="Preparada","",IF(R90="Cargar","Recargar antes de asignar",IF(R90="Pendiente de descarga","Comprobar la descarga antes de borrar",IF(R90="Pendiente de borrado","Borrar después de verificar la descarga",IF(R90="Liberar espacio","Espacio libre inferior al mínimo","Completar la revisión"))))))))</f>
        <v/>
      </c>
      <c r="T90" s="26" t="n"/>
    </row>
    <row r="91" ht="22" customHeight="1">
      <c r="A91" s="20" t="n"/>
      <c r="B91" s="20" t="n"/>
      <c r="C91" s="20" t="n"/>
      <c r="D91" s="20" t="n"/>
      <c r="E91" s="20" t="n"/>
      <c r="F91" s="20" t="n"/>
      <c r="G91" s="21" t="n"/>
      <c r="H91" s="20" t="n"/>
      <c r="I91" s="20" t="n"/>
      <c r="J91" s="20" t="n"/>
      <c r="K91" s="21" t="n"/>
      <c r="L91" s="20" t="n"/>
      <c r="M91" s="20" t="n"/>
      <c r="N91" s="22" t="n"/>
      <c r="O91" s="23">
        <f>IF(A91="","",IF(COUNTIFS(tblControl[ID del soporte],A91,tblControl[Estado del control],"Abierto")&gt;0,"Sí","No"))</f>
        <v/>
      </c>
      <c r="P91" s="23">
        <f>IF(A91="","",IFERROR(_xlfn.XLOOKUP(1,(tblControl[ID del soporte]=A91)*(tblControl[Estado del control]="Abierto"),tblControl[ID de sesión],"",0,-1),""))</f>
        <v/>
      </c>
      <c r="Q91" s="24">
        <f>IF(A91="","",IF(B91&lt;&gt;"Tarjeta","",IFERROR(K91/G91,"")))</f>
        <v/>
      </c>
      <c r="R91" s="23">
        <f>IF(A91="","",IF(I91&lt;&gt;"Activo","No disponible",IF(O91="Sí","Asignada",IF(B91="Batería",IF(J91="","Sin revisar",IF(J91&lt;Resumen!$C$3,"Cargar","Preparada")),IF(B91="Tarjeta",IF(OR(G91="",K91=""),"Sin revisar",IF(L91="No","Pendiente de descarga",IF(M91="No","Pendiente de borrado",IF(Q91&lt;Resumen!$C$4,"Liberar espacio","Preparada")))),"Revisar tipo")))))</f>
        <v/>
      </c>
      <c r="S91" s="25">
        <f>IF(A91="","",IF(I91&lt;&gt;"Activo","Soporte no disponible",IF(O91="Sí","Asignado a "&amp;P91,IF(R91="Preparada","",IF(R91="Cargar","Recargar antes de asignar",IF(R91="Pendiente de descarga","Comprobar la descarga antes de borrar",IF(R91="Pendiente de borrado","Borrar después de verificar la descarga",IF(R91="Liberar espacio","Espacio libre inferior al mínimo","Completar la revisión"))))))))</f>
        <v/>
      </c>
      <c r="T91" s="26" t="n"/>
    </row>
    <row r="92" ht="22" customHeight="1">
      <c r="A92" s="20" t="n"/>
      <c r="B92" s="20" t="n"/>
      <c r="C92" s="20" t="n"/>
      <c r="D92" s="20" t="n"/>
      <c r="E92" s="20" t="n"/>
      <c r="F92" s="20" t="n"/>
      <c r="G92" s="21" t="n"/>
      <c r="H92" s="20" t="n"/>
      <c r="I92" s="20" t="n"/>
      <c r="J92" s="20" t="n"/>
      <c r="K92" s="21" t="n"/>
      <c r="L92" s="20" t="n"/>
      <c r="M92" s="20" t="n"/>
      <c r="N92" s="22" t="n"/>
      <c r="O92" s="23">
        <f>IF(A92="","",IF(COUNTIFS(tblControl[ID del soporte],A92,tblControl[Estado del control],"Abierto")&gt;0,"Sí","No"))</f>
        <v/>
      </c>
      <c r="P92" s="23">
        <f>IF(A92="","",IFERROR(_xlfn.XLOOKUP(1,(tblControl[ID del soporte]=A92)*(tblControl[Estado del control]="Abierto"),tblControl[ID de sesión],"",0,-1),""))</f>
        <v/>
      </c>
      <c r="Q92" s="24">
        <f>IF(A92="","",IF(B92&lt;&gt;"Tarjeta","",IFERROR(K92/G92,"")))</f>
        <v/>
      </c>
      <c r="R92" s="23">
        <f>IF(A92="","",IF(I92&lt;&gt;"Activo","No disponible",IF(O92="Sí","Asignada",IF(B92="Batería",IF(J92="","Sin revisar",IF(J92&lt;Resumen!$C$3,"Cargar","Preparada")),IF(B92="Tarjeta",IF(OR(G92="",K92=""),"Sin revisar",IF(L92="No","Pendiente de descarga",IF(M92="No","Pendiente de borrado",IF(Q92&lt;Resumen!$C$4,"Liberar espacio","Preparada")))),"Revisar tipo")))))</f>
        <v/>
      </c>
      <c r="S92" s="25">
        <f>IF(A92="","",IF(I92&lt;&gt;"Activo","Soporte no disponible",IF(O92="Sí","Asignado a "&amp;P92,IF(R92="Preparada","",IF(R92="Cargar","Recargar antes de asignar",IF(R92="Pendiente de descarga","Comprobar la descarga antes de borrar",IF(R92="Pendiente de borrado","Borrar después de verificar la descarga",IF(R92="Liberar espacio","Espacio libre inferior al mínimo","Completar la revisión"))))))))</f>
        <v/>
      </c>
      <c r="T92" s="26" t="n"/>
    </row>
    <row r="93" ht="22" customHeight="1">
      <c r="A93" s="20" t="n"/>
      <c r="B93" s="20" t="n"/>
      <c r="C93" s="20" t="n"/>
      <c r="D93" s="20" t="n"/>
      <c r="E93" s="20" t="n"/>
      <c r="F93" s="20" t="n"/>
      <c r="G93" s="21" t="n"/>
      <c r="H93" s="20" t="n"/>
      <c r="I93" s="20" t="n"/>
      <c r="J93" s="20" t="n"/>
      <c r="K93" s="21" t="n"/>
      <c r="L93" s="20" t="n"/>
      <c r="M93" s="20" t="n"/>
      <c r="N93" s="22" t="n"/>
      <c r="O93" s="23">
        <f>IF(A93="","",IF(COUNTIFS(tblControl[ID del soporte],A93,tblControl[Estado del control],"Abierto")&gt;0,"Sí","No"))</f>
        <v/>
      </c>
      <c r="P93" s="23">
        <f>IF(A93="","",IFERROR(_xlfn.XLOOKUP(1,(tblControl[ID del soporte]=A93)*(tblControl[Estado del control]="Abierto"),tblControl[ID de sesión],"",0,-1),""))</f>
        <v/>
      </c>
      <c r="Q93" s="24">
        <f>IF(A93="","",IF(B93&lt;&gt;"Tarjeta","",IFERROR(K93/G93,"")))</f>
        <v/>
      </c>
      <c r="R93" s="23">
        <f>IF(A93="","",IF(I93&lt;&gt;"Activo","No disponible",IF(O93="Sí","Asignada",IF(B93="Batería",IF(J93="","Sin revisar",IF(J93&lt;Resumen!$C$3,"Cargar","Preparada")),IF(B93="Tarjeta",IF(OR(G93="",K93=""),"Sin revisar",IF(L93="No","Pendiente de descarga",IF(M93="No","Pendiente de borrado",IF(Q93&lt;Resumen!$C$4,"Liberar espacio","Preparada")))),"Revisar tipo")))))</f>
        <v/>
      </c>
      <c r="S93" s="25">
        <f>IF(A93="","",IF(I93&lt;&gt;"Activo","Soporte no disponible",IF(O93="Sí","Asignado a "&amp;P93,IF(R93="Preparada","",IF(R93="Cargar","Recargar antes de asignar",IF(R93="Pendiente de descarga","Comprobar la descarga antes de borrar",IF(R93="Pendiente de borrado","Borrar después de verificar la descarga",IF(R93="Liberar espacio","Espacio libre inferior al mínimo","Completar la revisión"))))))))</f>
        <v/>
      </c>
      <c r="T93" s="26" t="n"/>
    </row>
    <row r="94" ht="22" customHeight="1">
      <c r="A94" s="20" t="n"/>
      <c r="B94" s="20" t="n"/>
      <c r="C94" s="20" t="n"/>
      <c r="D94" s="20" t="n"/>
      <c r="E94" s="20" t="n"/>
      <c r="F94" s="20" t="n"/>
      <c r="G94" s="21" t="n"/>
      <c r="H94" s="20" t="n"/>
      <c r="I94" s="20" t="n"/>
      <c r="J94" s="20" t="n"/>
      <c r="K94" s="21" t="n"/>
      <c r="L94" s="20" t="n"/>
      <c r="M94" s="20" t="n"/>
      <c r="N94" s="22" t="n"/>
      <c r="O94" s="23">
        <f>IF(A94="","",IF(COUNTIFS(tblControl[ID del soporte],A94,tblControl[Estado del control],"Abierto")&gt;0,"Sí","No"))</f>
        <v/>
      </c>
      <c r="P94" s="23">
        <f>IF(A94="","",IFERROR(_xlfn.XLOOKUP(1,(tblControl[ID del soporte]=A94)*(tblControl[Estado del control]="Abierto"),tblControl[ID de sesión],"",0,-1),""))</f>
        <v/>
      </c>
      <c r="Q94" s="24">
        <f>IF(A94="","",IF(B94&lt;&gt;"Tarjeta","",IFERROR(K94/G94,"")))</f>
        <v/>
      </c>
      <c r="R94" s="23">
        <f>IF(A94="","",IF(I94&lt;&gt;"Activo","No disponible",IF(O94="Sí","Asignada",IF(B94="Batería",IF(J94="","Sin revisar",IF(J94&lt;Resumen!$C$3,"Cargar","Preparada")),IF(B94="Tarjeta",IF(OR(G94="",K94=""),"Sin revisar",IF(L94="No","Pendiente de descarga",IF(M94="No","Pendiente de borrado",IF(Q94&lt;Resumen!$C$4,"Liberar espacio","Preparada")))),"Revisar tipo")))))</f>
        <v/>
      </c>
      <c r="S94" s="25">
        <f>IF(A94="","",IF(I94&lt;&gt;"Activo","Soporte no disponible",IF(O94="Sí","Asignado a "&amp;P94,IF(R94="Preparada","",IF(R94="Cargar","Recargar antes de asignar",IF(R94="Pendiente de descarga","Comprobar la descarga antes de borrar",IF(R94="Pendiente de borrado","Borrar después de verificar la descarga",IF(R94="Liberar espacio","Espacio libre inferior al mínimo","Completar la revisión"))))))))</f>
        <v/>
      </c>
      <c r="T94" s="26" t="n"/>
    </row>
    <row r="95" ht="22" customHeight="1">
      <c r="A95" s="20" t="n"/>
      <c r="B95" s="20" t="n"/>
      <c r="C95" s="20" t="n"/>
      <c r="D95" s="20" t="n"/>
      <c r="E95" s="20" t="n"/>
      <c r="F95" s="20" t="n"/>
      <c r="G95" s="21" t="n"/>
      <c r="H95" s="20" t="n"/>
      <c r="I95" s="20" t="n"/>
      <c r="J95" s="20" t="n"/>
      <c r="K95" s="21" t="n"/>
      <c r="L95" s="20" t="n"/>
      <c r="M95" s="20" t="n"/>
      <c r="N95" s="22" t="n"/>
      <c r="O95" s="23">
        <f>IF(A95="","",IF(COUNTIFS(tblControl[ID del soporte],A95,tblControl[Estado del control],"Abierto")&gt;0,"Sí","No"))</f>
        <v/>
      </c>
      <c r="P95" s="23">
        <f>IF(A95="","",IFERROR(_xlfn.XLOOKUP(1,(tblControl[ID del soporte]=A95)*(tblControl[Estado del control]="Abierto"),tblControl[ID de sesión],"",0,-1),""))</f>
        <v/>
      </c>
      <c r="Q95" s="24">
        <f>IF(A95="","",IF(B95&lt;&gt;"Tarjeta","",IFERROR(K95/G95,"")))</f>
        <v/>
      </c>
      <c r="R95" s="23">
        <f>IF(A95="","",IF(I95&lt;&gt;"Activo","No disponible",IF(O95="Sí","Asignada",IF(B95="Batería",IF(J95="","Sin revisar",IF(J95&lt;Resumen!$C$3,"Cargar","Preparada")),IF(B95="Tarjeta",IF(OR(G95="",K95=""),"Sin revisar",IF(L95="No","Pendiente de descarga",IF(M95="No","Pendiente de borrado",IF(Q95&lt;Resumen!$C$4,"Liberar espacio","Preparada")))),"Revisar tipo")))))</f>
        <v/>
      </c>
      <c r="S95" s="25">
        <f>IF(A95="","",IF(I95&lt;&gt;"Activo","Soporte no disponible",IF(O95="Sí","Asignado a "&amp;P95,IF(R95="Preparada","",IF(R95="Cargar","Recargar antes de asignar",IF(R95="Pendiente de descarga","Comprobar la descarga antes de borrar",IF(R95="Pendiente de borrado","Borrar después de verificar la descarga",IF(R95="Liberar espacio","Espacio libre inferior al mínimo","Completar la revisión"))))))))</f>
        <v/>
      </c>
      <c r="T95" s="26" t="n"/>
    </row>
    <row r="96" ht="22" customHeight="1">
      <c r="A96" s="20" t="n"/>
      <c r="B96" s="20" t="n"/>
      <c r="C96" s="20" t="n"/>
      <c r="D96" s="20" t="n"/>
      <c r="E96" s="20" t="n"/>
      <c r="F96" s="20" t="n"/>
      <c r="G96" s="21" t="n"/>
      <c r="H96" s="20" t="n"/>
      <c r="I96" s="20" t="n"/>
      <c r="J96" s="20" t="n"/>
      <c r="K96" s="21" t="n"/>
      <c r="L96" s="20" t="n"/>
      <c r="M96" s="20" t="n"/>
      <c r="N96" s="22" t="n"/>
      <c r="O96" s="23">
        <f>IF(A96="","",IF(COUNTIFS(tblControl[ID del soporte],A96,tblControl[Estado del control],"Abierto")&gt;0,"Sí","No"))</f>
        <v/>
      </c>
      <c r="P96" s="23">
        <f>IF(A96="","",IFERROR(_xlfn.XLOOKUP(1,(tblControl[ID del soporte]=A96)*(tblControl[Estado del control]="Abierto"),tblControl[ID de sesión],"",0,-1),""))</f>
        <v/>
      </c>
      <c r="Q96" s="24">
        <f>IF(A96="","",IF(B96&lt;&gt;"Tarjeta","",IFERROR(K96/G96,"")))</f>
        <v/>
      </c>
      <c r="R96" s="23">
        <f>IF(A96="","",IF(I96&lt;&gt;"Activo","No disponible",IF(O96="Sí","Asignada",IF(B96="Batería",IF(J96="","Sin revisar",IF(J96&lt;Resumen!$C$3,"Cargar","Preparada")),IF(B96="Tarjeta",IF(OR(G96="",K96=""),"Sin revisar",IF(L96="No","Pendiente de descarga",IF(M96="No","Pendiente de borrado",IF(Q96&lt;Resumen!$C$4,"Liberar espacio","Preparada")))),"Revisar tipo")))))</f>
        <v/>
      </c>
      <c r="S96" s="25">
        <f>IF(A96="","",IF(I96&lt;&gt;"Activo","Soporte no disponible",IF(O96="Sí","Asignado a "&amp;P96,IF(R96="Preparada","",IF(R96="Cargar","Recargar antes de asignar",IF(R96="Pendiente de descarga","Comprobar la descarga antes de borrar",IF(R96="Pendiente de borrado","Borrar después de verificar la descarga",IF(R96="Liberar espacio","Espacio libre inferior al mínimo","Completar la revisión"))))))))</f>
        <v/>
      </c>
      <c r="T96" s="26" t="n"/>
    </row>
    <row r="97" ht="22" customHeight="1">
      <c r="A97" s="20" t="n"/>
      <c r="B97" s="20" t="n"/>
      <c r="C97" s="20" t="n"/>
      <c r="D97" s="20" t="n"/>
      <c r="E97" s="20" t="n"/>
      <c r="F97" s="20" t="n"/>
      <c r="G97" s="21" t="n"/>
      <c r="H97" s="20" t="n"/>
      <c r="I97" s="20" t="n"/>
      <c r="J97" s="20" t="n"/>
      <c r="K97" s="21" t="n"/>
      <c r="L97" s="20" t="n"/>
      <c r="M97" s="20" t="n"/>
      <c r="N97" s="22" t="n"/>
      <c r="O97" s="23">
        <f>IF(A97="","",IF(COUNTIFS(tblControl[ID del soporte],A97,tblControl[Estado del control],"Abierto")&gt;0,"Sí","No"))</f>
        <v/>
      </c>
      <c r="P97" s="23">
        <f>IF(A97="","",IFERROR(_xlfn.XLOOKUP(1,(tblControl[ID del soporte]=A97)*(tblControl[Estado del control]="Abierto"),tblControl[ID de sesión],"",0,-1),""))</f>
        <v/>
      </c>
      <c r="Q97" s="24">
        <f>IF(A97="","",IF(B97&lt;&gt;"Tarjeta","",IFERROR(K97/G97,"")))</f>
        <v/>
      </c>
      <c r="R97" s="23">
        <f>IF(A97="","",IF(I97&lt;&gt;"Activo","No disponible",IF(O97="Sí","Asignada",IF(B97="Batería",IF(J97="","Sin revisar",IF(J97&lt;Resumen!$C$3,"Cargar","Preparada")),IF(B97="Tarjeta",IF(OR(G97="",K97=""),"Sin revisar",IF(L97="No","Pendiente de descarga",IF(M97="No","Pendiente de borrado",IF(Q97&lt;Resumen!$C$4,"Liberar espacio","Preparada")))),"Revisar tipo")))))</f>
        <v/>
      </c>
      <c r="S97" s="25">
        <f>IF(A97="","",IF(I97&lt;&gt;"Activo","Soporte no disponible",IF(O97="Sí","Asignado a "&amp;P97,IF(R97="Preparada","",IF(R97="Cargar","Recargar antes de asignar",IF(R97="Pendiente de descarga","Comprobar la descarga antes de borrar",IF(R97="Pendiente de borrado","Borrar después de verificar la descarga",IF(R97="Liberar espacio","Espacio libre inferior al mínimo","Completar la revisión"))))))))</f>
        <v/>
      </c>
      <c r="T97" s="26" t="n"/>
    </row>
    <row r="98" ht="22" customHeight="1">
      <c r="A98" s="20" t="n"/>
      <c r="B98" s="20" t="n"/>
      <c r="C98" s="20" t="n"/>
      <c r="D98" s="20" t="n"/>
      <c r="E98" s="20" t="n"/>
      <c r="F98" s="20" t="n"/>
      <c r="G98" s="21" t="n"/>
      <c r="H98" s="20" t="n"/>
      <c r="I98" s="20" t="n"/>
      <c r="J98" s="20" t="n"/>
      <c r="K98" s="21" t="n"/>
      <c r="L98" s="20" t="n"/>
      <c r="M98" s="20" t="n"/>
      <c r="N98" s="22" t="n"/>
      <c r="O98" s="23">
        <f>IF(A98="","",IF(COUNTIFS(tblControl[ID del soporte],A98,tblControl[Estado del control],"Abierto")&gt;0,"Sí","No"))</f>
        <v/>
      </c>
      <c r="P98" s="23">
        <f>IF(A98="","",IFERROR(_xlfn.XLOOKUP(1,(tblControl[ID del soporte]=A98)*(tblControl[Estado del control]="Abierto"),tblControl[ID de sesión],"",0,-1),""))</f>
        <v/>
      </c>
      <c r="Q98" s="24">
        <f>IF(A98="","",IF(B98&lt;&gt;"Tarjeta","",IFERROR(K98/G98,"")))</f>
        <v/>
      </c>
      <c r="R98" s="23">
        <f>IF(A98="","",IF(I98&lt;&gt;"Activo","No disponible",IF(O98="Sí","Asignada",IF(B98="Batería",IF(J98="","Sin revisar",IF(J98&lt;Resumen!$C$3,"Cargar","Preparada")),IF(B98="Tarjeta",IF(OR(G98="",K98=""),"Sin revisar",IF(L98="No","Pendiente de descarga",IF(M98="No","Pendiente de borrado",IF(Q98&lt;Resumen!$C$4,"Liberar espacio","Preparada")))),"Revisar tipo")))))</f>
        <v/>
      </c>
      <c r="S98" s="25">
        <f>IF(A98="","",IF(I98&lt;&gt;"Activo","Soporte no disponible",IF(O98="Sí","Asignado a "&amp;P98,IF(R98="Preparada","",IF(R98="Cargar","Recargar antes de asignar",IF(R98="Pendiente de descarga","Comprobar la descarga antes de borrar",IF(R98="Pendiente de borrado","Borrar después de verificar la descarga",IF(R98="Liberar espacio","Espacio libre inferior al mínimo","Completar la revisión"))))))))</f>
        <v/>
      </c>
      <c r="T98" s="26" t="n"/>
    </row>
    <row r="99" ht="22" customHeight="1">
      <c r="A99" s="20" t="n"/>
      <c r="B99" s="20" t="n"/>
      <c r="C99" s="20" t="n"/>
      <c r="D99" s="20" t="n"/>
      <c r="E99" s="20" t="n"/>
      <c r="F99" s="20" t="n"/>
      <c r="G99" s="21" t="n"/>
      <c r="H99" s="20" t="n"/>
      <c r="I99" s="20" t="n"/>
      <c r="J99" s="20" t="n"/>
      <c r="K99" s="21" t="n"/>
      <c r="L99" s="20" t="n"/>
      <c r="M99" s="20" t="n"/>
      <c r="N99" s="22" t="n"/>
      <c r="O99" s="23">
        <f>IF(A99="","",IF(COUNTIFS(tblControl[ID del soporte],A99,tblControl[Estado del control],"Abierto")&gt;0,"Sí","No"))</f>
        <v/>
      </c>
      <c r="P99" s="23">
        <f>IF(A99="","",IFERROR(_xlfn.XLOOKUP(1,(tblControl[ID del soporte]=A99)*(tblControl[Estado del control]="Abierto"),tblControl[ID de sesión],"",0,-1),""))</f>
        <v/>
      </c>
      <c r="Q99" s="24">
        <f>IF(A99="","",IF(B99&lt;&gt;"Tarjeta","",IFERROR(K99/G99,"")))</f>
        <v/>
      </c>
      <c r="R99" s="23">
        <f>IF(A99="","",IF(I99&lt;&gt;"Activo","No disponible",IF(O99="Sí","Asignada",IF(B99="Batería",IF(J99="","Sin revisar",IF(J99&lt;Resumen!$C$3,"Cargar","Preparada")),IF(B99="Tarjeta",IF(OR(G99="",K99=""),"Sin revisar",IF(L99="No","Pendiente de descarga",IF(M99="No","Pendiente de borrado",IF(Q99&lt;Resumen!$C$4,"Liberar espacio","Preparada")))),"Revisar tipo")))))</f>
        <v/>
      </c>
      <c r="S99" s="25">
        <f>IF(A99="","",IF(I99&lt;&gt;"Activo","Soporte no disponible",IF(O99="Sí","Asignado a "&amp;P99,IF(R99="Preparada","",IF(R99="Cargar","Recargar antes de asignar",IF(R99="Pendiente de descarga","Comprobar la descarga antes de borrar",IF(R99="Pendiente de borrado","Borrar después de verificar la descarga",IF(R99="Liberar espacio","Espacio libre inferior al mínimo","Completar la revisión"))))))))</f>
        <v/>
      </c>
      <c r="T99" s="26" t="n"/>
    </row>
    <row r="100" ht="22" customHeight="1">
      <c r="A100" s="20" t="n"/>
      <c r="B100" s="20" t="n"/>
      <c r="C100" s="20" t="n"/>
      <c r="D100" s="20" t="n"/>
      <c r="E100" s="20" t="n"/>
      <c r="F100" s="20" t="n"/>
      <c r="G100" s="21" t="n"/>
      <c r="H100" s="20" t="n"/>
      <c r="I100" s="20" t="n"/>
      <c r="J100" s="20" t="n"/>
      <c r="K100" s="21" t="n"/>
      <c r="L100" s="20" t="n"/>
      <c r="M100" s="20" t="n"/>
      <c r="N100" s="22" t="n"/>
      <c r="O100" s="23">
        <f>IF(A100="","",IF(COUNTIFS(tblControl[ID del soporte],A100,tblControl[Estado del control],"Abierto")&gt;0,"Sí","No"))</f>
        <v/>
      </c>
      <c r="P100" s="23">
        <f>IF(A100="","",IFERROR(_xlfn.XLOOKUP(1,(tblControl[ID del soporte]=A100)*(tblControl[Estado del control]="Abierto"),tblControl[ID de sesión],"",0,-1),""))</f>
        <v/>
      </c>
      <c r="Q100" s="24">
        <f>IF(A100="","",IF(B100&lt;&gt;"Tarjeta","",IFERROR(K100/G100,"")))</f>
        <v/>
      </c>
      <c r="R100" s="23">
        <f>IF(A100="","",IF(I100&lt;&gt;"Activo","No disponible",IF(O100="Sí","Asignada",IF(B100="Batería",IF(J100="","Sin revisar",IF(J100&lt;Resumen!$C$3,"Cargar","Preparada")),IF(B100="Tarjeta",IF(OR(G100="",K100=""),"Sin revisar",IF(L100="No","Pendiente de descarga",IF(M100="No","Pendiente de borrado",IF(Q100&lt;Resumen!$C$4,"Liberar espacio","Preparada")))),"Revisar tipo")))))</f>
        <v/>
      </c>
      <c r="S100" s="25">
        <f>IF(A100="","",IF(I100&lt;&gt;"Activo","Soporte no disponible",IF(O100="Sí","Asignado a "&amp;P100,IF(R100="Preparada","",IF(R100="Cargar","Recargar antes de asignar",IF(R100="Pendiente de descarga","Comprobar la descarga antes de borrar",IF(R100="Pendiente de borrado","Borrar después de verificar la descarga",IF(R100="Liberar espacio","Espacio libre inferior al mínimo","Completar la revisión"))))))))</f>
        <v/>
      </c>
      <c r="T100" s="26" t="n"/>
    </row>
    <row r="101" ht="22" customHeight="1">
      <c r="A101" s="20" t="n"/>
      <c r="B101" s="20" t="n"/>
      <c r="C101" s="20" t="n"/>
      <c r="D101" s="20" t="n"/>
      <c r="E101" s="20" t="n"/>
      <c r="F101" s="20" t="n"/>
      <c r="G101" s="21" t="n"/>
      <c r="H101" s="20" t="n"/>
      <c r="I101" s="20" t="n"/>
      <c r="J101" s="20" t="n"/>
      <c r="K101" s="21" t="n"/>
      <c r="L101" s="20" t="n"/>
      <c r="M101" s="20" t="n"/>
      <c r="N101" s="22" t="n"/>
      <c r="O101" s="23">
        <f>IF(A101="","",IF(COUNTIFS(tblControl[ID del soporte],A101,tblControl[Estado del control],"Abierto")&gt;0,"Sí","No"))</f>
        <v/>
      </c>
      <c r="P101" s="23">
        <f>IF(A101="","",IFERROR(_xlfn.XLOOKUP(1,(tblControl[ID del soporte]=A101)*(tblControl[Estado del control]="Abierto"),tblControl[ID de sesión],"",0,-1),""))</f>
        <v/>
      </c>
      <c r="Q101" s="24">
        <f>IF(A101="","",IF(B101&lt;&gt;"Tarjeta","",IFERROR(K101/G101,"")))</f>
        <v/>
      </c>
      <c r="R101" s="23">
        <f>IF(A101="","",IF(I101&lt;&gt;"Activo","No disponible",IF(O101="Sí","Asignada",IF(B101="Batería",IF(J101="","Sin revisar",IF(J101&lt;Resumen!$C$3,"Cargar","Preparada")),IF(B101="Tarjeta",IF(OR(G101="",K101=""),"Sin revisar",IF(L101="No","Pendiente de descarga",IF(M101="No","Pendiente de borrado",IF(Q101&lt;Resumen!$C$4,"Liberar espacio","Preparada")))),"Revisar tipo")))))</f>
        <v/>
      </c>
      <c r="S101" s="25">
        <f>IF(A101="","",IF(I101&lt;&gt;"Activo","Soporte no disponible",IF(O101="Sí","Asignado a "&amp;P101,IF(R101="Preparada","",IF(R101="Cargar","Recargar antes de asignar",IF(R101="Pendiente de descarga","Comprobar la descarga antes de borrar",IF(R101="Pendiente de borrado","Borrar después de verificar la descarga",IF(R101="Liberar espacio","Espacio libre inferior al mínimo","Completar la revisión"))))))))</f>
        <v/>
      </c>
      <c r="T101" s="26" t="n"/>
    </row>
    <row r="102" ht="22" customHeight="1">
      <c r="A102" s="20" t="n"/>
      <c r="B102" s="20" t="n"/>
      <c r="C102" s="20" t="n"/>
      <c r="D102" s="20" t="n"/>
      <c r="E102" s="20" t="n"/>
      <c r="F102" s="20" t="n"/>
      <c r="G102" s="21" t="n"/>
      <c r="H102" s="20" t="n"/>
      <c r="I102" s="20" t="n"/>
      <c r="J102" s="20" t="n"/>
      <c r="K102" s="21" t="n"/>
      <c r="L102" s="20" t="n"/>
      <c r="M102" s="20" t="n"/>
      <c r="N102" s="22" t="n"/>
      <c r="O102" s="23">
        <f>IF(A102="","",IF(COUNTIFS(tblControl[ID del soporte],A102,tblControl[Estado del control],"Abierto")&gt;0,"Sí","No"))</f>
        <v/>
      </c>
      <c r="P102" s="23">
        <f>IF(A102="","",IFERROR(_xlfn.XLOOKUP(1,(tblControl[ID del soporte]=A102)*(tblControl[Estado del control]="Abierto"),tblControl[ID de sesión],"",0,-1),""))</f>
        <v/>
      </c>
      <c r="Q102" s="24">
        <f>IF(A102="","",IF(B102&lt;&gt;"Tarjeta","",IFERROR(K102/G102,"")))</f>
        <v/>
      </c>
      <c r="R102" s="23">
        <f>IF(A102="","",IF(I102&lt;&gt;"Activo","No disponible",IF(O102="Sí","Asignada",IF(B102="Batería",IF(J102="","Sin revisar",IF(J102&lt;Resumen!$C$3,"Cargar","Preparada")),IF(B102="Tarjeta",IF(OR(G102="",K102=""),"Sin revisar",IF(L102="No","Pendiente de descarga",IF(M102="No","Pendiente de borrado",IF(Q102&lt;Resumen!$C$4,"Liberar espacio","Preparada")))),"Revisar tipo")))))</f>
        <v/>
      </c>
      <c r="S102" s="25">
        <f>IF(A102="","",IF(I102&lt;&gt;"Activo","Soporte no disponible",IF(O102="Sí","Asignado a "&amp;P102,IF(R102="Preparada","",IF(R102="Cargar","Recargar antes de asignar",IF(R102="Pendiente de descarga","Comprobar la descarga antes de borrar",IF(R102="Pendiente de borrado","Borrar después de verificar la descarga",IF(R102="Liberar espacio","Espacio libre inferior al mínimo","Completar la revisión"))))))))</f>
        <v/>
      </c>
      <c r="T102" s="26" t="n"/>
    </row>
    <row r="103" ht="22" customHeight="1">
      <c r="A103" s="20" t="n"/>
      <c r="B103" s="20" t="n"/>
      <c r="C103" s="20" t="n"/>
      <c r="D103" s="20" t="n"/>
      <c r="E103" s="20" t="n"/>
      <c r="F103" s="20" t="n"/>
      <c r="G103" s="21" t="n"/>
      <c r="H103" s="20" t="n"/>
      <c r="I103" s="20" t="n"/>
      <c r="J103" s="20" t="n"/>
      <c r="K103" s="21" t="n"/>
      <c r="L103" s="20" t="n"/>
      <c r="M103" s="20" t="n"/>
      <c r="N103" s="22" t="n"/>
      <c r="O103" s="23">
        <f>IF(A103="","",IF(COUNTIFS(tblControl[ID del soporte],A103,tblControl[Estado del control],"Abierto")&gt;0,"Sí","No"))</f>
        <v/>
      </c>
      <c r="P103" s="23">
        <f>IF(A103="","",IFERROR(_xlfn.XLOOKUP(1,(tblControl[ID del soporte]=A103)*(tblControl[Estado del control]="Abierto"),tblControl[ID de sesión],"",0,-1),""))</f>
        <v/>
      </c>
      <c r="Q103" s="24">
        <f>IF(A103="","",IF(B103&lt;&gt;"Tarjeta","",IFERROR(K103/G103,"")))</f>
        <v/>
      </c>
      <c r="R103" s="23">
        <f>IF(A103="","",IF(I103&lt;&gt;"Activo","No disponible",IF(O103="Sí","Asignada",IF(B103="Batería",IF(J103="","Sin revisar",IF(J103&lt;Resumen!$C$3,"Cargar","Preparada")),IF(B103="Tarjeta",IF(OR(G103="",K103=""),"Sin revisar",IF(L103="No","Pendiente de descarga",IF(M103="No","Pendiente de borrado",IF(Q103&lt;Resumen!$C$4,"Liberar espacio","Preparada")))),"Revisar tipo")))))</f>
        <v/>
      </c>
      <c r="S103" s="25">
        <f>IF(A103="","",IF(I103&lt;&gt;"Activo","Soporte no disponible",IF(O103="Sí","Asignado a "&amp;P103,IF(R103="Preparada","",IF(R103="Cargar","Recargar antes de asignar",IF(R103="Pendiente de descarga","Comprobar la descarga antes de borrar",IF(R103="Pendiente de borrado","Borrar después de verificar la descarga",IF(R103="Liberar espacio","Espacio libre inferior al mínimo","Completar la revisión"))))))))</f>
        <v/>
      </c>
      <c r="T103" s="26" t="n"/>
    </row>
    <row r="104" ht="22" customHeight="1">
      <c r="A104" s="20" t="n"/>
      <c r="B104" s="20" t="n"/>
      <c r="C104" s="20" t="n"/>
      <c r="D104" s="20" t="n"/>
      <c r="E104" s="20" t="n"/>
      <c r="F104" s="20" t="n"/>
      <c r="G104" s="21" t="n"/>
      <c r="H104" s="20" t="n"/>
      <c r="I104" s="20" t="n"/>
      <c r="J104" s="20" t="n"/>
      <c r="K104" s="21" t="n"/>
      <c r="L104" s="20" t="n"/>
      <c r="M104" s="20" t="n"/>
      <c r="N104" s="22" t="n"/>
      <c r="O104" s="23">
        <f>IF(A104="","",IF(COUNTIFS(tblControl[ID del soporte],A104,tblControl[Estado del control],"Abierto")&gt;0,"Sí","No"))</f>
        <v/>
      </c>
      <c r="P104" s="23">
        <f>IF(A104="","",IFERROR(_xlfn.XLOOKUP(1,(tblControl[ID del soporte]=A104)*(tblControl[Estado del control]="Abierto"),tblControl[ID de sesión],"",0,-1),""))</f>
        <v/>
      </c>
      <c r="Q104" s="24">
        <f>IF(A104="","",IF(B104&lt;&gt;"Tarjeta","",IFERROR(K104/G104,"")))</f>
        <v/>
      </c>
      <c r="R104" s="23">
        <f>IF(A104="","",IF(I104&lt;&gt;"Activo","No disponible",IF(O104="Sí","Asignada",IF(B104="Batería",IF(J104="","Sin revisar",IF(J104&lt;Resumen!$C$3,"Cargar","Preparada")),IF(B104="Tarjeta",IF(OR(G104="",K104=""),"Sin revisar",IF(L104="No","Pendiente de descarga",IF(M104="No","Pendiente de borrado",IF(Q104&lt;Resumen!$C$4,"Liberar espacio","Preparada")))),"Revisar tipo")))))</f>
        <v/>
      </c>
      <c r="S104" s="25">
        <f>IF(A104="","",IF(I104&lt;&gt;"Activo","Soporte no disponible",IF(O104="Sí","Asignado a "&amp;P104,IF(R104="Preparada","",IF(R104="Cargar","Recargar antes de asignar",IF(R104="Pendiente de descarga","Comprobar la descarga antes de borrar",IF(R104="Pendiente de borrado","Borrar después de verificar la descarga",IF(R104="Liberar espacio","Espacio libre inferior al mínimo","Completar la revisión"))))))))</f>
        <v/>
      </c>
      <c r="T104" s="26" t="n"/>
    </row>
    <row r="105" ht="22" customHeight="1">
      <c r="A105" s="20" t="n"/>
      <c r="B105" s="20" t="n"/>
      <c r="C105" s="20" t="n"/>
      <c r="D105" s="20" t="n"/>
      <c r="E105" s="20" t="n"/>
      <c r="F105" s="20" t="n"/>
      <c r="G105" s="21" t="n"/>
      <c r="H105" s="20" t="n"/>
      <c r="I105" s="20" t="n"/>
      <c r="J105" s="20" t="n"/>
      <c r="K105" s="21" t="n"/>
      <c r="L105" s="20" t="n"/>
      <c r="M105" s="20" t="n"/>
      <c r="N105" s="22" t="n"/>
      <c r="O105" s="23">
        <f>IF(A105="","",IF(COUNTIFS(tblControl[ID del soporte],A105,tblControl[Estado del control],"Abierto")&gt;0,"Sí","No"))</f>
        <v/>
      </c>
      <c r="P105" s="23">
        <f>IF(A105="","",IFERROR(_xlfn.XLOOKUP(1,(tblControl[ID del soporte]=A105)*(tblControl[Estado del control]="Abierto"),tblControl[ID de sesión],"",0,-1),""))</f>
        <v/>
      </c>
      <c r="Q105" s="24">
        <f>IF(A105="","",IF(B105&lt;&gt;"Tarjeta","",IFERROR(K105/G105,"")))</f>
        <v/>
      </c>
      <c r="R105" s="23">
        <f>IF(A105="","",IF(I105&lt;&gt;"Activo","No disponible",IF(O105="Sí","Asignada",IF(B105="Batería",IF(J105="","Sin revisar",IF(J105&lt;Resumen!$C$3,"Cargar","Preparada")),IF(B105="Tarjeta",IF(OR(G105="",K105=""),"Sin revisar",IF(L105="No","Pendiente de descarga",IF(M105="No","Pendiente de borrado",IF(Q105&lt;Resumen!$C$4,"Liberar espacio","Preparada")))),"Revisar tipo")))))</f>
        <v/>
      </c>
      <c r="S105" s="25">
        <f>IF(A105="","",IF(I105&lt;&gt;"Activo","Soporte no disponible",IF(O105="Sí","Asignado a "&amp;P105,IF(R105="Preparada","",IF(R105="Cargar","Recargar antes de asignar",IF(R105="Pendiente de descarga","Comprobar la descarga antes de borrar",IF(R105="Pendiente de borrado","Borrar después de verificar la descarga",IF(R105="Liberar espacio","Espacio libre inferior al mínimo","Completar la revisión"))))))))</f>
        <v/>
      </c>
      <c r="T105" s="26" t="n"/>
    </row>
    <row r="106" ht="22" customHeight="1">
      <c r="A106" s="20" t="n"/>
      <c r="B106" s="20" t="n"/>
      <c r="C106" s="20" t="n"/>
      <c r="D106" s="20" t="n"/>
      <c r="E106" s="20" t="n"/>
      <c r="F106" s="20" t="n"/>
      <c r="G106" s="21" t="n"/>
      <c r="H106" s="20" t="n"/>
      <c r="I106" s="20" t="n"/>
      <c r="J106" s="20" t="n"/>
      <c r="K106" s="21" t="n"/>
      <c r="L106" s="20" t="n"/>
      <c r="M106" s="20" t="n"/>
      <c r="N106" s="22" t="n"/>
      <c r="O106" s="23">
        <f>IF(A106="","",IF(COUNTIFS(tblControl[ID del soporte],A106,tblControl[Estado del control],"Abierto")&gt;0,"Sí","No"))</f>
        <v/>
      </c>
      <c r="P106" s="23">
        <f>IF(A106="","",IFERROR(_xlfn.XLOOKUP(1,(tblControl[ID del soporte]=A106)*(tblControl[Estado del control]="Abierto"),tblControl[ID de sesión],"",0,-1),""))</f>
        <v/>
      </c>
      <c r="Q106" s="24">
        <f>IF(A106="","",IF(B106&lt;&gt;"Tarjeta","",IFERROR(K106/G106,"")))</f>
        <v/>
      </c>
      <c r="R106" s="23">
        <f>IF(A106="","",IF(I106&lt;&gt;"Activo","No disponible",IF(O106="Sí","Asignada",IF(B106="Batería",IF(J106="","Sin revisar",IF(J106&lt;Resumen!$C$3,"Cargar","Preparada")),IF(B106="Tarjeta",IF(OR(G106="",K106=""),"Sin revisar",IF(L106="No","Pendiente de descarga",IF(M106="No","Pendiente de borrado",IF(Q106&lt;Resumen!$C$4,"Liberar espacio","Preparada")))),"Revisar tipo")))))</f>
        <v/>
      </c>
      <c r="S106" s="25">
        <f>IF(A106="","",IF(I106&lt;&gt;"Activo","Soporte no disponible",IF(O106="Sí","Asignado a "&amp;P106,IF(R106="Preparada","",IF(R106="Cargar","Recargar antes de asignar",IF(R106="Pendiente de descarga","Comprobar la descarga antes de borrar",IF(R106="Pendiente de borrado","Borrar después de verificar la descarga",IF(R106="Liberar espacio","Espacio libre inferior al mínimo","Completar la revisión"))))))))</f>
        <v/>
      </c>
      <c r="T106" s="26" t="n"/>
    </row>
    <row r="107" ht="22" customHeight="1">
      <c r="A107" s="20" t="n"/>
      <c r="B107" s="20" t="n"/>
      <c r="C107" s="20" t="n"/>
      <c r="D107" s="20" t="n"/>
      <c r="E107" s="20" t="n"/>
      <c r="F107" s="20" t="n"/>
      <c r="G107" s="21" t="n"/>
      <c r="H107" s="20" t="n"/>
      <c r="I107" s="20" t="n"/>
      <c r="J107" s="20" t="n"/>
      <c r="K107" s="21" t="n"/>
      <c r="L107" s="20" t="n"/>
      <c r="M107" s="20" t="n"/>
      <c r="N107" s="22" t="n"/>
      <c r="O107" s="23">
        <f>IF(A107="","",IF(COUNTIFS(tblControl[ID del soporte],A107,tblControl[Estado del control],"Abierto")&gt;0,"Sí","No"))</f>
        <v/>
      </c>
      <c r="P107" s="23">
        <f>IF(A107="","",IFERROR(_xlfn.XLOOKUP(1,(tblControl[ID del soporte]=A107)*(tblControl[Estado del control]="Abierto"),tblControl[ID de sesión],"",0,-1),""))</f>
        <v/>
      </c>
      <c r="Q107" s="24">
        <f>IF(A107="","",IF(B107&lt;&gt;"Tarjeta","",IFERROR(K107/G107,"")))</f>
        <v/>
      </c>
      <c r="R107" s="23">
        <f>IF(A107="","",IF(I107&lt;&gt;"Activo","No disponible",IF(O107="Sí","Asignada",IF(B107="Batería",IF(J107="","Sin revisar",IF(J107&lt;Resumen!$C$3,"Cargar","Preparada")),IF(B107="Tarjeta",IF(OR(G107="",K107=""),"Sin revisar",IF(L107="No","Pendiente de descarga",IF(M107="No","Pendiente de borrado",IF(Q107&lt;Resumen!$C$4,"Liberar espacio","Preparada")))),"Revisar tipo")))))</f>
        <v/>
      </c>
      <c r="S107" s="25">
        <f>IF(A107="","",IF(I107&lt;&gt;"Activo","Soporte no disponible",IF(O107="Sí","Asignado a "&amp;P107,IF(R107="Preparada","",IF(R107="Cargar","Recargar antes de asignar",IF(R107="Pendiente de descarga","Comprobar la descarga antes de borrar",IF(R107="Pendiente de borrado","Borrar después de verificar la descarga",IF(R107="Liberar espacio","Espacio libre inferior al mínimo","Completar la revisión"))))))))</f>
        <v/>
      </c>
      <c r="T107" s="26" t="n"/>
    </row>
    <row r="108" ht="22" customHeight="1">
      <c r="A108" s="20" t="n"/>
      <c r="B108" s="20" t="n"/>
      <c r="C108" s="20" t="n"/>
      <c r="D108" s="20" t="n"/>
      <c r="E108" s="20" t="n"/>
      <c r="F108" s="20" t="n"/>
      <c r="G108" s="21" t="n"/>
      <c r="H108" s="20" t="n"/>
      <c r="I108" s="20" t="n"/>
      <c r="J108" s="20" t="n"/>
      <c r="K108" s="21" t="n"/>
      <c r="L108" s="20" t="n"/>
      <c r="M108" s="20" t="n"/>
      <c r="N108" s="22" t="n"/>
      <c r="O108" s="23">
        <f>IF(A108="","",IF(COUNTIFS(tblControl[ID del soporte],A108,tblControl[Estado del control],"Abierto")&gt;0,"Sí","No"))</f>
        <v/>
      </c>
      <c r="P108" s="23">
        <f>IF(A108="","",IFERROR(_xlfn.XLOOKUP(1,(tblControl[ID del soporte]=A108)*(tblControl[Estado del control]="Abierto"),tblControl[ID de sesión],"",0,-1),""))</f>
        <v/>
      </c>
      <c r="Q108" s="24">
        <f>IF(A108="","",IF(B108&lt;&gt;"Tarjeta","",IFERROR(K108/G108,"")))</f>
        <v/>
      </c>
      <c r="R108" s="23">
        <f>IF(A108="","",IF(I108&lt;&gt;"Activo","No disponible",IF(O108="Sí","Asignada",IF(B108="Batería",IF(J108="","Sin revisar",IF(J108&lt;Resumen!$C$3,"Cargar","Preparada")),IF(B108="Tarjeta",IF(OR(G108="",K108=""),"Sin revisar",IF(L108="No","Pendiente de descarga",IF(M108="No","Pendiente de borrado",IF(Q108&lt;Resumen!$C$4,"Liberar espacio","Preparada")))),"Revisar tipo")))))</f>
        <v/>
      </c>
      <c r="S108" s="25">
        <f>IF(A108="","",IF(I108&lt;&gt;"Activo","Soporte no disponible",IF(O108="Sí","Asignado a "&amp;P108,IF(R108="Preparada","",IF(R108="Cargar","Recargar antes de asignar",IF(R108="Pendiente de descarga","Comprobar la descarga antes de borrar",IF(R108="Pendiente de borrado","Borrar después de verificar la descarga",IF(R108="Liberar espacio","Espacio libre inferior al mínimo","Completar la revisión"))))))))</f>
        <v/>
      </c>
      <c r="T108" s="26" t="n"/>
    </row>
    <row r="109" ht="22" customHeight="1">
      <c r="A109" s="20" t="n"/>
      <c r="B109" s="20" t="n"/>
      <c r="C109" s="20" t="n"/>
      <c r="D109" s="20" t="n"/>
      <c r="E109" s="20" t="n"/>
      <c r="F109" s="20" t="n"/>
      <c r="G109" s="21" t="n"/>
      <c r="H109" s="20" t="n"/>
      <c r="I109" s="20" t="n"/>
      <c r="J109" s="20" t="n"/>
      <c r="K109" s="21" t="n"/>
      <c r="L109" s="20" t="n"/>
      <c r="M109" s="20" t="n"/>
      <c r="N109" s="22" t="n"/>
      <c r="O109" s="23">
        <f>IF(A109="","",IF(COUNTIFS(tblControl[ID del soporte],A109,tblControl[Estado del control],"Abierto")&gt;0,"Sí","No"))</f>
        <v/>
      </c>
      <c r="P109" s="23">
        <f>IF(A109="","",IFERROR(_xlfn.XLOOKUP(1,(tblControl[ID del soporte]=A109)*(tblControl[Estado del control]="Abierto"),tblControl[ID de sesión],"",0,-1),""))</f>
        <v/>
      </c>
      <c r="Q109" s="24">
        <f>IF(A109="","",IF(B109&lt;&gt;"Tarjeta","",IFERROR(K109/G109,"")))</f>
        <v/>
      </c>
      <c r="R109" s="23">
        <f>IF(A109="","",IF(I109&lt;&gt;"Activo","No disponible",IF(O109="Sí","Asignada",IF(B109="Batería",IF(J109="","Sin revisar",IF(J109&lt;Resumen!$C$3,"Cargar","Preparada")),IF(B109="Tarjeta",IF(OR(G109="",K109=""),"Sin revisar",IF(L109="No","Pendiente de descarga",IF(M109="No","Pendiente de borrado",IF(Q109&lt;Resumen!$C$4,"Liberar espacio","Preparada")))),"Revisar tipo")))))</f>
        <v/>
      </c>
      <c r="S109" s="25">
        <f>IF(A109="","",IF(I109&lt;&gt;"Activo","Soporte no disponible",IF(O109="Sí","Asignado a "&amp;P109,IF(R109="Preparada","",IF(R109="Cargar","Recargar antes de asignar",IF(R109="Pendiente de descarga","Comprobar la descarga antes de borrar",IF(R109="Pendiente de borrado","Borrar después de verificar la descarga",IF(R109="Liberar espacio","Espacio libre inferior al mínimo","Completar la revisión"))))))))</f>
        <v/>
      </c>
      <c r="T109" s="26" t="n"/>
    </row>
    <row r="110" ht="22" customHeight="1">
      <c r="A110" s="20" t="n"/>
      <c r="B110" s="20" t="n"/>
      <c r="C110" s="20" t="n"/>
      <c r="D110" s="20" t="n"/>
      <c r="E110" s="20" t="n"/>
      <c r="F110" s="20" t="n"/>
      <c r="G110" s="21" t="n"/>
      <c r="H110" s="20" t="n"/>
      <c r="I110" s="20" t="n"/>
      <c r="J110" s="20" t="n"/>
      <c r="K110" s="21" t="n"/>
      <c r="L110" s="20" t="n"/>
      <c r="M110" s="20" t="n"/>
      <c r="N110" s="22" t="n"/>
      <c r="O110" s="23">
        <f>IF(A110="","",IF(COUNTIFS(tblControl[ID del soporte],A110,tblControl[Estado del control],"Abierto")&gt;0,"Sí","No"))</f>
        <v/>
      </c>
      <c r="P110" s="23">
        <f>IF(A110="","",IFERROR(_xlfn.XLOOKUP(1,(tblControl[ID del soporte]=A110)*(tblControl[Estado del control]="Abierto"),tblControl[ID de sesión],"",0,-1),""))</f>
        <v/>
      </c>
      <c r="Q110" s="24">
        <f>IF(A110="","",IF(B110&lt;&gt;"Tarjeta","",IFERROR(K110/G110,"")))</f>
        <v/>
      </c>
      <c r="R110" s="23">
        <f>IF(A110="","",IF(I110&lt;&gt;"Activo","No disponible",IF(O110="Sí","Asignada",IF(B110="Batería",IF(J110="","Sin revisar",IF(J110&lt;Resumen!$C$3,"Cargar","Preparada")),IF(B110="Tarjeta",IF(OR(G110="",K110=""),"Sin revisar",IF(L110="No","Pendiente de descarga",IF(M110="No","Pendiente de borrado",IF(Q110&lt;Resumen!$C$4,"Liberar espacio","Preparada")))),"Revisar tipo")))))</f>
        <v/>
      </c>
      <c r="S110" s="25">
        <f>IF(A110="","",IF(I110&lt;&gt;"Activo","Soporte no disponible",IF(O110="Sí","Asignado a "&amp;P110,IF(R110="Preparada","",IF(R110="Cargar","Recargar antes de asignar",IF(R110="Pendiente de descarga","Comprobar la descarga antes de borrar",IF(R110="Pendiente de borrado","Borrar después de verificar la descarga",IF(R110="Liberar espacio","Espacio libre inferior al mínimo","Completar la revisión"))))))))</f>
        <v/>
      </c>
      <c r="T110" s="26" t="n"/>
    </row>
    <row r="111" ht="22" customHeight="1">
      <c r="A111" s="20" t="n"/>
      <c r="B111" s="20" t="n"/>
      <c r="C111" s="20" t="n"/>
      <c r="D111" s="20" t="n"/>
      <c r="E111" s="20" t="n"/>
      <c r="F111" s="20" t="n"/>
      <c r="G111" s="21" t="n"/>
      <c r="H111" s="20" t="n"/>
      <c r="I111" s="20" t="n"/>
      <c r="J111" s="20" t="n"/>
      <c r="K111" s="21" t="n"/>
      <c r="L111" s="20" t="n"/>
      <c r="M111" s="20" t="n"/>
      <c r="N111" s="22" t="n"/>
      <c r="O111" s="23">
        <f>IF(A111="","",IF(COUNTIFS(tblControl[ID del soporte],A111,tblControl[Estado del control],"Abierto")&gt;0,"Sí","No"))</f>
        <v/>
      </c>
      <c r="P111" s="23">
        <f>IF(A111="","",IFERROR(_xlfn.XLOOKUP(1,(tblControl[ID del soporte]=A111)*(tblControl[Estado del control]="Abierto"),tblControl[ID de sesión],"",0,-1),""))</f>
        <v/>
      </c>
      <c r="Q111" s="24">
        <f>IF(A111="","",IF(B111&lt;&gt;"Tarjeta","",IFERROR(K111/G111,"")))</f>
        <v/>
      </c>
      <c r="R111" s="23">
        <f>IF(A111="","",IF(I111&lt;&gt;"Activo","No disponible",IF(O111="Sí","Asignada",IF(B111="Batería",IF(J111="","Sin revisar",IF(J111&lt;Resumen!$C$3,"Cargar","Preparada")),IF(B111="Tarjeta",IF(OR(G111="",K111=""),"Sin revisar",IF(L111="No","Pendiente de descarga",IF(M111="No","Pendiente de borrado",IF(Q111&lt;Resumen!$C$4,"Liberar espacio","Preparada")))),"Revisar tipo")))))</f>
        <v/>
      </c>
      <c r="S111" s="25">
        <f>IF(A111="","",IF(I111&lt;&gt;"Activo","Soporte no disponible",IF(O111="Sí","Asignado a "&amp;P111,IF(R111="Preparada","",IF(R111="Cargar","Recargar antes de asignar",IF(R111="Pendiente de descarga","Comprobar la descarga antes de borrar",IF(R111="Pendiente de borrado","Borrar después de verificar la descarga",IF(R111="Liberar espacio","Espacio libre inferior al mínimo","Completar la revisión"))))))))</f>
        <v/>
      </c>
      <c r="T111" s="26" t="n"/>
    </row>
    <row r="112" ht="22" customHeight="1">
      <c r="A112" s="20" t="n"/>
      <c r="B112" s="20" t="n"/>
      <c r="C112" s="20" t="n"/>
      <c r="D112" s="20" t="n"/>
      <c r="E112" s="20" t="n"/>
      <c r="F112" s="20" t="n"/>
      <c r="G112" s="21" t="n"/>
      <c r="H112" s="20" t="n"/>
      <c r="I112" s="20" t="n"/>
      <c r="J112" s="20" t="n"/>
      <c r="K112" s="21" t="n"/>
      <c r="L112" s="20" t="n"/>
      <c r="M112" s="20" t="n"/>
      <c r="N112" s="22" t="n"/>
      <c r="O112" s="23">
        <f>IF(A112="","",IF(COUNTIFS(tblControl[ID del soporte],A112,tblControl[Estado del control],"Abierto")&gt;0,"Sí","No"))</f>
        <v/>
      </c>
      <c r="P112" s="23">
        <f>IF(A112="","",IFERROR(_xlfn.XLOOKUP(1,(tblControl[ID del soporte]=A112)*(tblControl[Estado del control]="Abierto"),tblControl[ID de sesión],"",0,-1),""))</f>
        <v/>
      </c>
      <c r="Q112" s="24">
        <f>IF(A112="","",IF(B112&lt;&gt;"Tarjeta","",IFERROR(K112/G112,"")))</f>
        <v/>
      </c>
      <c r="R112" s="23">
        <f>IF(A112="","",IF(I112&lt;&gt;"Activo","No disponible",IF(O112="Sí","Asignada",IF(B112="Batería",IF(J112="","Sin revisar",IF(J112&lt;Resumen!$C$3,"Cargar","Preparada")),IF(B112="Tarjeta",IF(OR(G112="",K112=""),"Sin revisar",IF(L112="No","Pendiente de descarga",IF(M112="No","Pendiente de borrado",IF(Q112&lt;Resumen!$C$4,"Liberar espacio","Preparada")))),"Revisar tipo")))))</f>
        <v/>
      </c>
      <c r="S112" s="25">
        <f>IF(A112="","",IF(I112&lt;&gt;"Activo","Soporte no disponible",IF(O112="Sí","Asignado a "&amp;P112,IF(R112="Preparada","",IF(R112="Cargar","Recargar antes de asignar",IF(R112="Pendiente de descarga","Comprobar la descarga antes de borrar",IF(R112="Pendiente de borrado","Borrar después de verificar la descarga",IF(R112="Liberar espacio","Espacio libre inferior al mínimo","Completar la revisión"))))))))</f>
        <v/>
      </c>
      <c r="T112" s="26" t="n"/>
    </row>
    <row r="113" ht="22" customHeight="1">
      <c r="A113" s="20" t="n"/>
      <c r="B113" s="20" t="n"/>
      <c r="C113" s="20" t="n"/>
      <c r="D113" s="20" t="n"/>
      <c r="E113" s="20" t="n"/>
      <c r="F113" s="20" t="n"/>
      <c r="G113" s="21" t="n"/>
      <c r="H113" s="20" t="n"/>
      <c r="I113" s="20" t="n"/>
      <c r="J113" s="20" t="n"/>
      <c r="K113" s="21" t="n"/>
      <c r="L113" s="20" t="n"/>
      <c r="M113" s="20" t="n"/>
      <c r="N113" s="22" t="n"/>
      <c r="O113" s="23">
        <f>IF(A113="","",IF(COUNTIFS(tblControl[ID del soporte],A113,tblControl[Estado del control],"Abierto")&gt;0,"Sí","No"))</f>
        <v/>
      </c>
      <c r="P113" s="23">
        <f>IF(A113="","",IFERROR(_xlfn.XLOOKUP(1,(tblControl[ID del soporte]=A113)*(tblControl[Estado del control]="Abierto"),tblControl[ID de sesión],"",0,-1),""))</f>
        <v/>
      </c>
      <c r="Q113" s="24">
        <f>IF(A113="","",IF(B113&lt;&gt;"Tarjeta","",IFERROR(K113/G113,"")))</f>
        <v/>
      </c>
      <c r="R113" s="23">
        <f>IF(A113="","",IF(I113&lt;&gt;"Activo","No disponible",IF(O113="Sí","Asignada",IF(B113="Batería",IF(J113="","Sin revisar",IF(J113&lt;Resumen!$C$3,"Cargar","Preparada")),IF(B113="Tarjeta",IF(OR(G113="",K113=""),"Sin revisar",IF(L113="No","Pendiente de descarga",IF(M113="No","Pendiente de borrado",IF(Q113&lt;Resumen!$C$4,"Liberar espacio","Preparada")))),"Revisar tipo")))))</f>
        <v/>
      </c>
      <c r="S113" s="25">
        <f>IF(A113="","",IF(I113&lt;&gt;"Activo","Soporte no disponible",IF(O113="Sí","Asignado a "&amp;P113,IF(R113="Preparada","",IF(R113="Cargar","Recargar antes de asignar",IF(R113="Pendiente de descarga","Comprobar la descarga antes de borrar",IF(R113="Pendiente de borrado","Borrar después de verificar la descarga",IF(R113="Liberar espacio","Espacio libre inferior al mínimo","Completar la revisión"))))))))</f>
        <v/>
      </c>
      <c r="T113" s="26" t="n"/>
    </row>
    <row r="114" ht="22" customHeight="1">
      <c r="A114" s="20" t="n"/>
      <c r="B114" s="20" t="n"/>
      <c r="C114" s="20" t="n"/>
      <c r="D114" s="20" t="n"/>
      <c r="E114" s="20" t="n"/>
      <c r="F114" s="20" t="n"/>
      <c r="G114" s="21" t="n"/>
      <c r="H114" s="20" t="n"/>
      <c r="I114" s="20" t="n"/>
      <c r="J114" s="20" t="n"/>
      <c r="K114" s="21" t="n"/>
      <c r="L114" s="20" t="n"/>
      <c r="M114" s="20" t="n"/>
      <c r="N114" s="22" t="n"/>
      <c r="O114" s="23">
        <f>IF(A114="","",IF(COUNTIFS(tblControl[ID del soporte],A114,tblControl[Estado del control],"Abierto")&gt;0,"Sí","No"))</f>
        <v/>
      </c>
      <c r="P114" s="23">
        <f>IF(A114="","",IFERROR(_xlfn.XLOOKUP(1,(tblControl[ID del soporte]=A114)*(tblControl[Estado del control]="Abierto"),tblControl[ID de sesión],"",0,-1),""))</f>
        <v/>
      </c>
      <c r="Q114" s="24">
        <f>IF(A114="","",IF(B114&lt;&gt;"Tarjeta","",IFERROR(K114/G114,"")))</f>
        <v/>
      </c>
      <c r="R114" s="23">
        <f>IF(A114="","",IF(I114&lt;&gt;"Activo","No disponible",IF(O114="Sí","Asignada",IF(B114="Batería",IF(J114="","Sin revisar",IF(J114&lt;Resumen!$C$3,"Cargar","Preparada")),IF(B114="Tarjeta",IF(OR(G114="",K114=""),"Sin revisar",IF(L114="No","Pendiente de descarga",IF(M114="No","Pendiente de borrado",IF(Q114&lt;Resumen!$C$4,"Liberar espacio","Preparada")))),"Revisar tipo")))))</f>
        <v/>
      </c>
      <c r="S114" s="25">
        <f>IF(A114="","",IF(I114&lt;&gt;"Activo","Soporte no disponible",IF(O114="Sí","Asignado a "&amp;P114,IF(R114="Preparada","",IF(R114="Cargar","Recargar antes de asignar",IF(R114="Pendiente de descarga","Comprobar la descarga antes de borrar",IF(R114="Pendiente de borrado","Borrar después de verificar la descarga",IF(R114="Liberar espacio","Espacio libre inferior al mínimo","Completar la revisión"))))))))</f>
        <v/>
      </c>
      <c r="T114" s="26" t="n"/>
    </row>
    <row r="115" ht="22" customHeight="1">
      <c r="A115" s="20" t="n"/>
      <c r="B115" s="20" t="n"/>
      <c r="C115" s="20" t="n"/>
      <c r="D115" s="20" t="n"/>
      <c r="E115" s="20" t="n"/>
      <c r="F115" s="20" t="n"/>
      <c r="G115" s="21" t="n"/>
      <c r="H115" s="20" t="n"/>
      <c r="I115" s="20" t="n"/>
      <c r="J115" s="20" t="n"/>
      <c r="K115" s="21" t="n"/>
      <c r="L115" s="20" t="n"/>
      <c r="M115" s="20" t="n"/>
      <c r="N115" s="22" t="n"/>
      <c r="O115" s="23">
        <f>IF(A115="","",IF(COUNTIFS(tblControl[ID del soporte],A115,tblControl[Estado del control],"Abierto")&gt;0,"Sí","No"))</f>
        <v/>
      </c>
      <c r="P115" s="23">
        <f>IF(A115="","",IFERROR(_xlfn.XLOOKUP(1,(tblControl[ID del soporte]=A115)*(tblControl[Estado del control]="Abierto"),tblControl[ID de sesión],"",0,-1),""))</f>
        <v/>
      </c>
      <c r="Q115" s="24">
        <f>IF(A115="","",IF(B115&lt;&gt;"Tarjeta","",IFERROR(K115/G115,"")))</f>
        <v/>
      </c>
      <c r="R115" s="23">
        <f>IF(A115="","",IF(I115&lt;&gt;"Activo","No disponible",IF(O115="Sí","Asignada",IF(B115="Batería",IF(J115="","Sin revisar",IF(J115&lt;Resumen!$C$3,"Cargar","Preparada")),IF(B115="Tarjeta",IF(OR(G115="",K115=""),"Sin revisar",IF(L115="No","Pendiente de descarga",IF(M115="No","Pendiente de borrado",IF(Q115&lt;Resumen!$C$4,"Liberar espacio","Preparada")))),"Revisar tipo")))))</f>
        <v/>
      </c>
      <c r="S115" s="25">
        <f>IF(A115="","",IF(I115&lt;&gt;"Activo","Soporte no disponible",IF(O115="Sí","Asignado a "&amp;P115,IF(R115="Preparada","",IF(R115="Cargar","Recargar antes de asignar",IF(R115="Pendiente de descarga","Comprobar la descarga antes de borrar",IF(R115="Pendiente de borrado","Borrar después de verificar la descarga",IF(R115="Liberar espacio","Espacio libre inferior al mínimo","Completar la revisión"))))))))</f>
        <v/>
      </c>
      <c r="T115" s="26" t="n"/>
    </row>
    <row r="116" ht="22" customHeight="1">
      <c r="A116" s="20" t="n"/>
      <c r="B116" s="20" t="n"/>
      <c r="C116" s="20" t="n"/>
      <c r="D116" s="20" t="n"/>
      <c r="E116" s="20" t="n"/>
      <c r="F116" s="20" t="n"/>
      <c r="G116" s="21" t="n"/>
      <c r="H116" s="20" t="n"/>
      <c r="I116" s="20" t="n"/>
      <c r="J116" s="20" t="n"/>
      <c r="K116" s="21" t="n"/>
      <c r="L116" s="20" t="n"/>
      <c r="M116" s="20" t="n"/>
      <c r="N116" s="22" t="n"/>
      <c r="O116" s="23">
        <f>IF(A116="","",IF(COUNTIFS(tblControl[ID del soporte],A116,tblControl[Estado del control],"Abierto")&gt;0,"Sí","No"))</f>
        <v/>
      </c>
      <c r="P116" s="23">
        <f>IF(A116="","",IFERROR(_xlfn.XLOOKUP(1,(tblControl[ID del soporte]=A116)*(tblControl[Estado del control]="Abierto"),tblControl[ID de sesión],"",0,-1),""))</f>
        <v/>
      </c>
      <c r="Q116" s="24">
        <f>IF(A116="","",IF(B116&lt;&gt;"Tarjeta","",IFERROR(K116/G116,"")))</f>
        <v/>
      </c>
      <c r="R116" s="23">
        <f>IF(A116="","",IF(I116&lt;&gt;"Activo","No disponible",IF(O116="Sí","Asignada",IF(B116="Batería",IF(J116="","Sin revisar",IF(J116&lt;Resumen!$C$3,"Cargar","Preparada")),IF(B116="Tarjeta",IF(OR(G116="",K116=""),"Sin revisar",IF(L116="No","Pendiente de descarga",IF(M116="No","Pendiente de borrado",IF(Q116&lt;Resumen!$C$4,"Liberar espacio","Preparada")))),"Revisar tipo")))))</f>
        <v/>
      </c>
      <c r="S116" s="25">
        <f>IF(A116="","",IF(I116&lt;&gt;"Activo","Soporte no disponible",IF(O116="Sí","Asignado a "&amp;P116,IF(R116="Preparada","",IF(R116="Cargar","Recargar antes de asignar",IF(R116="Pendiente de descarga","Comprobar la descarga antes de borrar",IF(R116="Pendiente de borrado","Borrar después de verificar la descarga",IF(R116="Liberar espacio","Espacio libre inferior al mínimo","Completar la revisión"))))))))</f>
        <v/>
      </c>
      <c r="T116" s="26" t="n"/>
    </row>
    <row r="117" ht="22" customHeight="1">
      <c r="A117" s="20" t="n"/>
      <c r="B117" s="20" t="n"/>
      <c r="C117" s="20" t="n"/>
      <c r="D117" s="20" t="n"/>
      <c r="E117" s="20" t="n"/>
      <c r="F117" s="20" t="n"/>
      <c r="G117" s="21" t="n"/>
      <c r="H117" s="20" t="n"/>
      <c r="I117" s="20" t="n"/>
      <c r="J117" s="20" t="n"/>
      <c r="K117" s="21" t="n"/>
      <c r="L117" s="20" t="n"/>
      <c r="M117" s="20" t="n"/>
      <c r="N117" s="22" t="n"/>
      <c r="O117" s="23">
        <f>IF(A117="","",IF(COUNTIFS(tblControl[ID del soporte],A117,tblControl[Estado del control],"Abierto")&gt;0,"Sí","No"))</f>
        <v/>
      </c>
      <c r="P117" s="23">
        <f>IF(A117="","",IFERROR(_xlfn.XLOOKUP(1,(tblControl[ID del soporte]=A117)*(tblControl[Estado del control]="Abierto"),tblControl[ID de sesión],"",0,-1),""))</f>
        <v/>
      </c>
      <c r="Q117" s="24">
        <f>IF(A117="","",IF(B117&lt;&gt;"Tarjeta","",IFERROR(K117/G117,"")))</f>
        <v/>
      </c>
      <c r="R117" s="23">
        <f>IF(A117="","",IF(I117&lt;&gt;"Activo","No disponible",IF(O117="Sí","Asignada",IF(B117="Batería",IF(J117="","Sin revisar",IF(J117&lt;Resumen!$C$3,"Cargar","Preparada")),IF(B117="Tarjeta",IF(OR(G117="",K117=""),"Sin revisar",IF(L117="No","Pendiente de descarga",IF(M117="No","Pendiente de borrado",IF(Q117&lt;Resumen!$C$4,"Liberar espacio","Preparada")))),"Revisar tipo")))))</f>
        <v/>
      </c>
      <c r="S117" s="25">
        <f>IF(A117="","",IF(I117&lt;&gt;"Activo","Soporte no disponible",IF(O117="Sí","Asignado a "&amp;P117,IF(R117="Preparada","",IF(R117="Cargar","Recargar antes de asignar",IF(R117="Pendiente de descarga","Comprobar la descarga antes de borrar",IF(R117="Pendiente de borrado","Borrar después de verificar la descarga",IF(R117="Liberar espacio","Espacio libre inferior al mínimo","Completar la revisión"))))))))</f>
        <v/>
      </c>
      <c r="T117" s="26" t="n"/>
    </row>
    <row r="118" ht="22" customHeight="1">
      <c r="A118" s="20" t="n"/>
      <c r="B118" s="20" t="n"/>
      <c r="C118" s="20" t="n"/>
      <c r="D118" s="20" t="n"/>
      <c r="E118" s="20" t="n"/>
      <c r="F118" s="20" t="n"/>
      <c r="G118" s="21" t="n"/>
      <c r="H118" s="20" t="n"/>
      <c r="I118" s="20" t="n"/>
      <c r="J118" s="20" t="n"/>
      <c r="K118" s="21" t="n"/>
      <c r="L118" s="20" t="n"/>
      <c r="M118" s="20" t="n"/>
      <c r="N118" s="22" t="n"/>
      <c r="O118" s="23">
        <f>IF(A118="","",IF(COUNTIFS(tblControl[ID del soporte],A118,tblControl[Estado del control],"Abierto")&gt;0,"Sí","No"))</f>
        <v/>
      </c>
      <c r="P118" s="23">
        <f>IF(A118="","",IFERROR(_xlfn.XLOOKUP(1,(tblControl[ID del soporte]=A118)*(tblControl[Estado del control]="Abierto"),tblControl[ID de sesión],"",0,-1),""))</f>
        <v/>
      </c>
      <c r="Q118" s="24">
        <f>IF(A118="","",IF(B118&lt;&gt;"Tarjeta","",IFERROR(K118/G118,"")))</f>
        <v/>
      </c>
      <c r="R118" s="23">
        <f>IF(A118="","",IF(I118&lt;&gt;"Activo","No disponible",IF(O118="Sí","Asignada",IF(B118="Batería",IF(J118="","Sin revisar",IF(J118&lt;Resumen!$C$3,"Cargar","Preparada")),IF(B118="Tarjeta",IF(OR(G118="",K118=""),"Sin revisar",IF(L118="No","Pendiente de descarga",IF(M118="No","Pendiente de borrado",IF(Q118&lt;Resumen!$C$4,"Liberar espacio","Preparada")))),"Revisar tipo")))))</f>
        <v/>
      </c>
      <c r="S118" s="25">
        <f>IF(A118="","",IF(I118&lt;&gt;"Activo","Soporte no disponible",IF(O118="Sí","Asignado a "&amp;P118,IF(R118="Preparada","",IF(R118="Cargar","Recargar antes de asignar",IF(R118="Pendiente de descarga","Comprobar la descarga antes de borrar",IF(R118="Pendiente de borrado","Borrar después de verificar la descarga",IF(R118="Liberar espacio","Espacio libre inferior al mínimo","Completar la revisión"))))))))</f>
        <v/>
      </c>
      <c r="T118" s="26" t="n"/>
    </row>
    <row r="119" ht="22" customHeight="1">
      <c r="A119" s="20" t="n"/>
      <c r="B119" s="20" t="n"/>
      <c r="C119" s="20" t="n"/>
      <c r="D119" s="20" t="n"/>
      <c r="E119" s="20" t="n"/>
      <c r="F119" s="20" t="n"/>
      <c r="G119" s="21" t="n"/>
      <c r="H119" s="20" t="n"/>
      <c r="I119" s="20" t="n"/>
      <c r="J119" s="20" t="n"/>
      <c r="K119" s="21" t="n"/>
      <c r="L119" s="20" t="n"/>
      <c r="M119" s="20" t="n"/>
      <c r="N119" s="22" t="n"/>
      <c r="O119" s="23">
        <f>IF(A119="","",IF(COUNTIFS(tblControl[ID del soporte],A119,tblControl[Estado del control],"Abierto")&gt;0,"Sí","No"))</f>
        <v/>
      </c>
      <c r="P119" s="23">
        <f>IF(A119="","",IFERROR(_xlfn.XLOOKUP(1,(tblControl[ID del soporte]=A119)*(tblControl[Estado del control]="Abierto"),tblControl[ID de sesión],"",0,-1),""))</f>
        <v/>
      </c>
      <c r="Q119" s="24">
        <f>IF(A119="","",IF(B119&lt;&gt;"Tarjeta","",IFERROR(K119/G119,"")))</f>
        <v/>
      </c>
      <c r="R119" s="23">
        <f>IF(A119="","",IF(I119&lt;&gt;"Activo","No disponible",IF(O119="Sí","Asignada",IF(B119="Batería",IF(J119="","Sin revisar",IF(J119&lt;Resumen!$C$3,"Cargar","Preparada")),IF(B119="Tarjeta",IF(OR(G119="",K119=""),"Sin revisar",IF(L119="No","Pendiente de descarga",IF(M119="No","Pendiente de borrado",IF(Q119&lt;Resumen!$C$4,"Liberar espacio","Preparada")))),"Revisar tipo")))))</f>
        <v/>
      </c>
      <c r="S119" s="25">
        <f>IF(A119="","",IF(I119&lt;&gt;"Activo","Soporte no disponible",IF(O119="Sí","Asignado a "&amp;P119,IF(R119="Preparada","",IF(R119="Cargar","Recargar antes de asignar",IF(R119="Pendiente de descarga","Comprobar la descarga antes de borrar",IF(R119="Pendiente de borrado","Borrar después de verificar la descarga",IF(R119="Liberar espacio","Espacio libre inferior al mínimo","Completar la revisión"))))))))</f>
        <v/>
      </c>
      <c r="T119" s="26" t="n"/>
    </row>
    <row r="120" ht="22" customHeight="1">
      <c r="A120" s="20" t="n"/>
      <c r="B120" s="20" t="n"/>
      <c r="C120" s="20" t="n"/>
      <c r="D120" s="20" t="n"/>
      <c r="E120" s="20" t="n"/>
      <c r="F120" s="20" t="n"/>
      <c r="G120" s="21" t="n"/>
      <c r="H120" s="20" t="n"/>
      <c r="I120" s="20" t="n"/>
      <c r="J120" s="20" t="n"/>
      <c r="K120" s="21" t="n"/>
      <c r="L120" s="20" t="n"/>
      <c r="M120" s="20" t="n"/>
      <c r="N120" s="22" t="n"/>
      <c r="O120" s="23">
        <f>IF(A120="","",IF(COUNTIFS(tblControl[ID del soporte],A120,tblControl[Estado del control],"Abierto")&gt;0,"Sí","No"))</f>
        <v/>
      </c>
      <c r="P120" s="23">
        <f>IF(A120="","",IFERROR(_xlfn.XLOOKUP(1,(tblControl[ID del soporte]=A120)*(tblControl[Estado del control]="Abierto"),tblControl[ID de sesión],"",0,-1),""))</f>
        <v/>
      </c>
      <c r="Q120" s="24">
        <f>IF(A120="","",IF(B120&lt;&gt;"Tarjeta","",IFERROR(K120/G120,"")))</f>
        <v/>
      </c>
      <c r="R120" s="23">
        <f>IF(A120="","",IF(I120&lt;&gt;"Activo","No disponible",IF(O120="Sí","Asignada",IF(B120="Batería",IF(J120="","Sin revisar",IF(J120&lt;Resumen!$C$3,"Cargar","Preparada")),IF(B120="Tarjeta",IF(OR(G120="",K120=""),"Sin revisar",IF(L120="No","Pendiente de descarga",IF(M120="No","Pendiente de borrado",IF(Q120&lt;Resumen!$C$4,"Liberar espacio","Preparada")))),"Revisar tipo")))))</f>
        <v/>
      </c>
      <c r="S120" s="25">
        <f>IF(A120="","",IF(I120&lt;&gt;"Activo","Soporte no disponible",IF(O120="Sí","Asignado a "&amp;P120,IF(R120="Preparada","",IF(R120="Cargar","Recargar antes de asignar",IF(R120="Pendiente de descarga","Comprobar la descarga antes de borrar",IF(R120="Pendiente de borrado","Borrar después de verificar la descarga",IF(R120="Liberar espacio","Espacio libre inferior al mínimo","Completar la revisión"))))))))</f>
        <v/>
      </c>
      <c r="T120" s="26" t="n"/>
    </row>
    <row r="121" ht="22" customHeight="1">
      <c r="A121" s="20" t="n"/>
      <c r="B121" s="20" t="n"/>
      <c r="C121" s="20" t="n"/>
      <c r="D121" s="20" t="n"/>
      <c r="E121" s="20" t="n"/>
      <c r="F121" s="20" t="n"/>
      <c r="G121" s="21" t="n"/>
      <c r="H121" s="20" t="n"/>
      <c r="I121" s="20" t="n"/>
      <c r="J121" s="20" t="n"/>
      <c r="K121" s="21" t="n"/>
      <c r="L121" s="20" t="n"/>
      <c r="M121" s="20" t="n"/>
      <c r="N121" s="22" t="n"/>
      <c r="O121" s="23">
        <f>IF(A121="","",IF(COUNTIFS(tblControl[ID del soporte],A121,tblControl[Estado del control],"Abierto")&gt;0,"Sí","No"))</f>
        <v/>
      </c>
      <c r="P121" s="23">
        <f>IF(A121="","",IFERROR(_xlfn.XLOOKUP(1,(tblControl[ID del soporte]=A121)*(tblControl[Estado del control]="Abierto"),tblControl[ID de sesión],"",0,-1),""))</f>
        <v/>
      </c>
      <c r="Q121" s="24">
        <f>IF(A121="","",IF(B121&lt;&gt;"Tarjeta","",IFERROR(K121/G121,"")))</f>
        <v/>
      </c>
      <c r="R121" s="23">
        <f>IF(A121="","",IF(I121&lt;&gt;"Activo","No disponible",IF(O121="Sí","Asignada",IF(B121="Batería",IF(J121="","Sin revisar",IF(J121&lt;Resumen!$C$3,"Cargar","Preparada")),IF(B121="Tarjeta",IF(OR(G121="",K121=""),"Sin revisar",IF(L121="No","Pendiente de descarga",IF(M121="No","Pendiente de borrado",IF(Q121&lt;Resumen!$C$4,"Liberar espacio","Preparada")))),"Revisar tipo")))))</f>
        <v/>
      </c>
      <c r="S121" s="25">
        <f>IF(A121="","",IF(I121&lt;&gt;"Activo","Soporte no disponible",IF(O121="Sí","Asignado a "&amp;P121,IF(R121="Preparada","",IF(R121="Cargar","Recargar antes de asignar",IF(R121="Pendiente de descarga","Comprobar la descarga antes de borrar",IF(R121="Pendiente de borrado","Borrar después de verificar la descarga",IF(R121="Liberar espacio","Espacio libre inferior al mínimo","Completar la revisión"))))))))</f>
        <v/>
      </c>
      <c r="T121" s="26" t="n"/>
    </row>
    <row r="122" ht="22" customHeight="1">
      <c r="A122" s="20" t="n"/>
      <c r="B122" s="20" t="n"/>
      <c r="C122" s="20" t="n"/>
      <c r="D122" s="20" t="n"/>
      <c r="E122" s="20" t="n"/>
      <c r="F122" s="20" t="n"/>
      <c r="G122" s="21" t="n"/>
      <c r="H122" s="20" t="n"/>
      <c r="I122" s="20" t="n"/>
      <c r="J122" s="20" t="n"/>
      <c r="K122" s="21" t="n"/>
      <c r="L122" s="20" t="n"/>
      <c r="M122" s="20" t="n"/>
      <c r="N122" s="22" t="n"/>
      <c r="O122" s="23">
        <f>IF(A122="","",IF(COUNTIFS(tblControl[ID del soporte],A122,tblControl[Estado del control],"Abierto")&gt;0,"Sí","No"))</f>
        <v/>
      </c>
      <c r="P122" s="23">
        <f>IF(A122="","",IFERROR(_xlfn.XLOOKUP(1,(tblControl[ID del soporte]=A122)*(tblControl[Estado del control]="Abierto"),tblControl[ID de sesión],"",0,-1),""))</f>
        <v/>
      </c>
      <c r="Q122" s="24">
        <f>IF(A122="","",IF(B122&lt;&gt;"Tarjeta","",IFERROR(K122/G122,"")))</f>
        <v/>
      </c>
      <c r="R122" s="23">
        <f>IF(A122="","",IF(I122&lt;&gt;"Activo","No disponible",IF(O122="Sí","Asignada",IF(B122="Batería",IF(J122="","Sin revisar",IF(J122&lt;Resumen!$C$3,"Cargar","Preparada")),IF(B122="Tarjeta",IF(OR(G122="",K122=""),"Sin revisar",IF(L122="No","Pendiente de descarga",IF(M122="No","Pendiente de borrado",IF(Q122&lt;Resumen!$C$4,"Liberar espacio","Preparada")))),"Revisar tipo")))))</f>
        <v/>
      </c>
      <c r="S122" s="25">
        <f>IF(A122="","",IF(I122&lt;&gt;"Activo","Soporte no disponible",IF(O122="Sí","Asignado a "&amp;P122,IF(R122="Preparada","",IF(R122="Cargar","Recargar antes de asignar",IF(R122="Pendiente de descarga","Comprobar la descarga antes de borrar",IF(R122="Pendiente de borrado","Borrar después de verificar la descarga",IF(R122="Liberar espacio","Espacio libre inferior al mínimo","Completar la revisión"))))))))</f>
        <v/>
      </c>
      <c r="T122" s="26" t="n"/>
    </row>
    <row r="123" ht="22" customHeight="1">
      <c r="A123" s="20" t="n"/>
      <c r="B123" s="20" t="n"/>
      <c r="C123" s="20" t="n"/>
      <c r="D123" s="20" t="n"/>
      <c r="E123" s="20" t="n"/>
      <c r="F123" s="20" t="n"/>
      <c r="G123" s="21" t="n"/>
      <c r="H123" s="20" t="n"/>
      <c r="I123" s="20" t="n"/>
      <c r="J123" s="20" t="n"/>
      <c r="K123" s="21" t="n"/>
      <c r="L123" s="20" t="n"/>
      <c r="M123" s="20" t="n"/>
      <c r="N123" s="22" t="n"/>
      <c r="O123" s="23">
        <f>IF(A123="","",IF(COUNTIFS(tblControl[ID del soporte],A123,tblControl[Estado del control],"Abierto")&gt;0,"Sí","No"))</f>
        <v/>
      </c>
      <c r="P123" s="23">
        <f>IF(A123="","",IFERROR(_xlfn.XLOOKUP(1,(tblControl[ID del soporte]=A123)*(tblControl[Estado del control]="Abierto"),tblControl[ID de sesión],"",0,-1),""))</f>
        <v/>
      </c>
      <c r="Q123" s="24">
        <f>IF(A123="","",IF(B123&lt;&gt;"Tarjeta","",IFERROR(K123/G123,"")))</f>
        <v/>
      </c>
      <c r="R123" s="23">
        <f>IF(A123="","",IF(I123&lt;&gt;"Activo","No disponible",IF(O123="Sí","Asignada",IF(B123="Batería",IF(J123="","Sin revisar",IF(J123&lt;Resumen!$C$3,"Cargar","Preparada")),IF(B123="Tarjeta",IF(OR(G123="",K123=""),"Sin revisar",IF(L123="No","Pendiente de descarga",IF(M123="No","Pendiente de borrado",IF(Q123&lt;Resumen!$C$4,"Liberar espacio","Preparada")))),"Revisar tipo")))))</f>
        <v/>
      </c>
      <c r="S123" s="25">
        <f>IF(A123="","",IF(I123&lt;&gt;"Activo","Soporte no disponible",IF(O123="Sí","Asignado a "&amp;P123,IF(R123="Preparada","",IF(R123="Cargar","Recargar antes de asignar",IF(R123="Pendiente de descarga","Comprobar la descarga antes de borrar",IF(R123="Pendiente de borrado","Borrar después de verificar la descarga",IF(R123="Liberar espacio","Espacio libre inferior al mínimo","Completar la revisión"))))))))</f>
        <v/>
      </c>
      <c r="T123" s="26" t="n"/>
    </row>
    <row r="124" ht="22" customHeight="1">
      <c r="A124" s="20" t="n"/>
      <c r="B124" s="20" t="n"/>
      <c r="C124" s="20" t="n"/>
      <c r="D124" s="20" t="n"/>
      <c r="E124" s="20" t="n"/>
      <c r="F124" s="20" t="n"/>
      <c r="G124" s="21" t="n"/>
      <c r="H124" s="20" t="n"/>
      <c r="I124" s="20" t="n"/>
      <c r="J124" s="20" t="n"/>
      <c r="K124" s="21" t="n"/>
      <c r="L124" s="20" t="n"/>
      <c r="M124" s="20" t="n"/>
      <c r="N124" s="22" t="n"/>
      <c r="O124" s="23">
        <f>IF(A124="","",IF(COUNTIFS(tblControl[ID del soporte],A124,tblControl[Estado del control],"Abierto")&gt;0,"Sí","No"))</f>
        <v/>
      </c>
      <c r="P124" s="23">
        <f>IF(A124="","",IFERROR(_xlfn.XLOOKUP(1,(tblControl[ID del soporte]=A124)*(tblControl[Estado del control]="Abierto"),tblControl[ID de sesión],"",0,-1),""))</f>
        <v/>
      </c>
      <c r="Q124" s="24">
        <f>IF(A124="","",IF(B124&lt;&gt;"Tarjeta","",IFERROR(K124/G124,"")))</f>
        <v/>
      </c>
      <c r="R124" s="23">
        <f>IF(A124="","",IF(I124&lt;&gt;"Activo","No disponible",IF(O124="Sí","Asignada",IF(B124="Batería",IF(J124="","Sin revisar",IF(J124&lt;Resumen!$C$3,"Cargar","Preparada")),IF(B124="Tarjeta",IF(OR(G124="",K124=""),"Sin revisar",IF(L124="No","Pendiente de descarga",IF(M124="No","Pendiente de borrado",IF(Q124&lt;Resumen!$C$4,"Liberar espacio","Preparada")))),"Revisar tipo")))))</f>
        <v/>
      </c>
      <c r="S124" s="25">
        <f>IF(A124="","",IF(I124&lt;&gt;"Activo","Soporte no disponible",IF(O124="Sí","Asignado a "&amp;P124,IF(R124="Preparada","",IF(R124="Cargar","Recargar antes de asignar",IF(R124="Pendiente de descarga","Comprobar la descarga antes de borrar",IF(R124="Pendiente de borrado","Borrar después de verificar la descarga",IF(R124="Liberar espacio","Espacio libre inferior al mínimo","Completar la revisión"))))))))</f>
        <v/>
      </c>
      <c r="T124" s="26" t="n"/>
    </row>
    <row r="125" ht="22" customHeight="1">
      <c r="A125" s="20" t="n"/>
      <c r="B125" s="20" t="n"/>
      <c r="C125" s="20" t="n"/>
      <c r="D125" s="20" t="n"/>
      <c r="E125" s="20" t="n"/>
      <c r="F125" s="20" t="n"/>
      <c r="G125" s="21" t="n"/>
      <c r="H125" s="20" t="n"/>
      <c r="I125" s="20" t="n"/>
      <c r="J125" s="20" t="n"/>
      <c r="K125" s="21" t="n"/>
      <c r="L125" s="20" t="n"/>
      <c r="M125" s="20" t="n"/>
      <c r="N125" s="22" t="n"/>
      <c r="O125" s="23">
        <f>IF(A125="","",IF(COUNTIFS(tblControl[ID del soporte],A125,tblControl[Estado del control],"Abierto")&gt;0,"Sí","No"))</f>
        <v/>
      </c>
      <c r="P125" s="23">
        <f>IF(A125="","",IFERROR(_xlfn.XLOOKUP(1,(tblControl[ID del soporte]=A125)*(tblControl[Estado del control]="Abierto"),tblControl[ID de sesión],"",0,-1),""))</f>
        <v/>
      </c>
      <c r="Q125" s="24">
        <f>IF(A125="","",IF(B125&lt;&gt;"Tarjeta","",IFERROR(K125/G125,"")))</f>
        <v/>
      </c>
      <c r="R125" s="23">
        <f>IF(A125="","",IF(I125&lt;&gt;"Activo","No disponible",IF(O125="Sí","Asignada",IF(B125="Batería",IF(J125="","Sin revisar",IF(J125&lt;Resumen!$C$3,"Cargar","Preparada")),IF(B125="Tarjeta",IF(OR(G125="",K125=""),"Sin revisar",IF(L125="No","Pendiente de descarga",IF(M125="No","Pendiente de borrado",IF(Q125&lt;Resumen!$C$4,"Liberar espacio","Preparada")))),"Revisar tipo")))))</f>
        <v/>
      </c>
      <c r="S125" s="25">
        <f>IF(A125="","",IF(I125&lt;&gt;"Activo","Soporte no disponible",IF(O125="Sí","Asignado a "&amp;P125,IF(R125="Preparada","",IF(R125="Cargar","Recargar antes de asignar",IF(R125="Pendiente de descarga","Comprobar la descarga antes de borrar",IF(R125="Pendiente de borrado","Borrar después de verificar la descarga",IF(R125="Liberar espacio","Espacio libre inferior al mínimo","Completar la revisión"))))))))</f>
        <v/>
      </c>
      <c r="T125" s="26" t="n"/>
    </row>
    <row r="126" ht="22" customHeight="1">
      <c r="A126" s="20" t="n"/>
      <c r="B126" s="20" t="n"/>
      <c r="C126" s="20" t="n"/>
      <c r="D126" s="20" t="n"/>
      <c r="E126" s="20" t="n"/>
      <c r="F126" s="20" t="n"/>
      <c r="G126" s="21" t="n"/>
      <c r="H126" s="20" t="n"/>
      <c r="I126" s="20" t="n"/>
      <c r="J126" s="20" t="n"/>
      <c r="K126" s="21" t="n"/>
      <c r="L126" s="20" t="n"/>
      <c r="M126" s="20" t="n"/>
      <c r="N126" s="22" t="n"/>
      <c r="O126" s="23">
        <f>IF(A126="","",IF(COUNTIFS(tblControl[ID del soporte],A126,tblControl[Estado del control],"Abierto")&gt;0,"Sí","No"))</f>
        <v/>
      </c>
      <c r="P126" s="23">
        <f>IF(A126="","",IFERROR(_xlfn.XLOOKUP(1,(tblControl[ID del soporte]=A126)*(tblControl[Estado del control]="Abierto"),tblControl[ID de sesión],"",0,-1),""))</f>
        <v/>
      </c>
      <c r="Q126" s="24">
        <f>IF(A126="","",IF(B126&lt;&gt;"Tarjeta","",IFERROR(K126/G126,"")))</f>
        <v/>
      </c>
      <c r="R126" s="23">
        <f>IF(A126="","",IF(I126&lt;&gt;"Activo","No disponible",IF(O126="Sí","Asignada",IF(B126="Batería",IF(J126="","Sin revisar",IF(J126&lt;Resumen!$C$3,"Cargar","Preparada")),IF(B126="Tarjeta",IF(OR(G126="",K126=""),"Sin revisar",IF(L126="No","Pendiente de descarga",IF(M126="No","Pendiente de borrado",IF(Q126&lt;Resumen!$C$4,"Liberar espacio","Preparada")))),"Revisar tipo")))))</f>
        <v/>
      </c>
      <c r="S126" s="25">
        <f>IF(A126="","",IF(I126&lt;&gt;"Activo","Soporte no disponible",IF(O126="Sí","Asignado a "&amp;P126,IF(R126="Preparada","",IF(R126="Cargar","Recargar antes de asignar",IF(R126="Pendiente de descarga","Comprobar la descarga antes de borrar",IF(R126="Pendiente de borrado","Borrar después de verificar la descarga",IF(R126="Liberar espacio","Espacio libre inferior al mínimo","Completar la revisión"))))))))</f>
        <v/>
      </c>
      <c r="T126" s="26" t="n"/>
    </row>
    <row r="127" ht="22" customHeight="1">
      <c r="A127" s="20" t="n"/>
      <c r="B127" s="20" t="n"/>
      <c r="C127" s="20" t="n"/>
      <c r="D127" s="20" t="n"/>
      <c r="E127" s="20" t="n"/>
      <c r="F127" s="20" t="n"/>
      <c r="G127" s="21" t="n"/>
      <c r="H127" s="20" t="n"/>
      <c r="I127" s="20" t="n"/>
      <c r="J127" s="20" t="n"/>
      <c r="K127" s="21" t="n"/>
      <c r="L127" s="20" t="n"/>
      <c r="M127" s="20" t="n"/>
      <c r="N127" s="22" t="n"/>
      <c r="O127" s="23">
        <f>IF(A127="","",IF(COUNTIFS(tblControl[ID del soporte],A127,tblControl[Estado del control],"Abierto")&gt;0,"Sí","No"))</f>
        <v/>
      </c>
      <c r="P127" s="23">
        <f>IF(A127="","",IFERROR(_xlfn.XLOOKUP(1,(tblControl[ID del soporte]=A127)*(tblControl[Estado del control]="Abierto"),tblControl[ID de sesión],"",0,-1),""))</f>
        <v/>
      </c>
      <c r="Q127" s="24">
        <f>IF(A127="","",IF(B127&lt;&gt;"Tarjeta","",IFERROR(K127/G127,"")))</f>
        <v/>
      </c>
      <c r="R127" s="23">
        <f>IF(A127="","",IF(I127&lt;&gt;"Activo","No disponible",IF(O127="Sí","Asignada",IF(B127="Batería",IF(J127="","Sin revisar",IF(J127&lt;Resumen!$C$3,"Cargar","Preparada")),IF(B127="Tarjeta",IF(OR(G127="",K127=""),"Sin revisar",IF(L127="No","Pendiente de descarga",IF(M127="No","Pendiente de borrado",IF(Q127&lt;Resumen!$C$4,"Liberar espacio","Preparada")))),"Revisar tipo")))))</f>
        <v/>
      </c>
      <c r="S127" s="25">
        <f>IF(A127="","",IF(I127&lt;&gt;"Activo","Soporte no disponible",IF(O127="Sí","Asignado a "&amp;P127,IF(R127="Preparada","",IF(R127="Cargar","Recargar antes de asignar",IF(R127="Pendiente de descarga","Comprobar la descarga antes de borrar",IF(R127="Pendiente de borrado","Borrar después de verificar la descarga",IF(R127="Liberar espacio","Espacio libre inferior al mínimo","Completar la revisión"))))))))</f>
        <v/>
      </c>
      <c r="T127" s="26" t="n"/>
    </row>
    <row r="128" ht="22" customHeight="1">
      <c r="A128" s="20" t="n"/>
      <c r="B128" s="20" t="n"/>
      <c r="C128" s="20" t="n"/>
      <c r="D128" s="20" t="n"/>
      <c r="E128" s="20" t="n"/>
      <c r="F128" s="20" t="n"/>
      <c r="G128" s="21" t="n"/>
      <c r="H128" s="20" t="n"/>
      <c r="I128" s="20" t="n"/>
      <c r="J128" s="20" t="n"/>
      <c r="K128" s="21" t="n"/>
      <c r="L128" s="20" t="n"/>
      <c r="M128" s="20" t="n"/>
      <c r="N128" s="22" t="n"/>
      <c r="O128" s="23">
        <f>IF(A128="","",IF(COUNTIFS(tblControl[ID del soporte],A128,tblControl[Estado del control],"Abierto")&gt;0,"Sí","No"))</f>
        <v/>
      </c>
      <c r="P128" s="23">
        <f>IF(A128="","",IFERROR(_xlfn.XLOOKUP(1,(tblControl[ID del soporte]=A128)*(tblControl[Estado del control]="Abierto"),tblControl[ID de sesión],"",0,-1),""))</f>
        <v/>
      </c>
      <c r="Q128" s="24">
        <f>IF(A128="","",IF(B128&lt;&gt;"Tarjeta","",IFERROR(K128/G128,"")))</f>
        <v/>
      </c>
      <c r="R128" s="23">
        <f>IF(A128="","",IF(I128&lt;&gt;"Activo","No disponible",IF(O128="Sí","Asignada",IF(B128="Batería",IF(J128="","Sin revisar",IF(J128&lt;Resumen!$C$3,"Cargar","Preparada")),IF(B128="Tarjeta",IF(OR(G128="",K128=""),"Sin revisar",IF(L128="No","Pendiente de descarga",IF(M128="No","Pendiente de borrado",IF(Q128&lt;Resumen!$C$4,"Liberar espacio","Preparada")))),"Revisar tipo")))))</f>
        <v/>
      </c>
      <c r="S128" s="25">
        <f>IF(A128="","",IF(I128&lt;&gt;"Activo","Soporte no disponible",IF(O128="Sí","Asignado a "&amp;P128,IF(R128="Preparada","",IF(R128="Cargar","Recargar antes de asignar",IF(R128="Pendiente de descarga","Comprobar la descarga antes de borrar",IF(R128="Pendiente de borrado","Borrar después de verificar la descarga",IF(R128="Liberar espacio","Espacio libre inferior al mínimo","Completar la revisión"))))))))</f>
        <v/>
      </c>
      <c r="T128" s="26" t="n"/>
    </row>
    <row r="129" ht="22" customHeight="1">
      <c r="A129" s="20" t="n"/>
      <c r="B129" s="20" t="n"/>
      <c r="C129" s="20" t="n"/>
      <c r="D129" s="20" t="n"/>
      <c r="E129" s="20" t="n"/>
      <c r="F129" s="20" t="n"/>
      <c r="G129" s="21" t="n"/>
      <c r="H129" s="20" t="n"/>
      <c r="I129" s="20" t="n"/>
      <c r="J129" s="20" t="n"/>
      <c r="K129" s="21" t="n"/>
      <c r="L129" s="20" t="n"/>
      <c r="M129" s="20" t="n"/>
      <c r="N129" s="22" t="n"/>
      <c r="O129" s="23">
        <f>IF(A129="","",IF(COUNTIFS(tblControl[ID del soporte],A129,tblControl[Estado del control],"Abierto")&gt;0,"Sí","No"))</f>
        <v/>
      </c>
      <c r="P129" s="23">
        <f>IF(A129="","",IFERROR(_xlfn.XLOOKUP(1,(tblControl[ID del soporte]=A129)*(tblControl[Estado del control]="Abierto"),tblControl[ID de sesión],"",0,-1),""))</f>
        <v/>
      </c>
      <c r="Q129" s="24">
        <f>IF(A129="","",IF(B129&lt;&gt;"Tarjeta","",IFERROR(K129/G129,"")))</f>
        <v/>
      </c>
      <c r="R129" s="23">
        <f>IF(A129="","",IF(I129&lt;&gt;"Activo","No disponible",IF(O129="Sí","Asignada",IF(B129="Batería",IF(J129="","Sin revisar",IF(J129&lt;Resumen!$C$3,"Cargar","Preparada")),IF(B129="Tarjeta",IF(OR(G129="",K129=""),"Sin revisar",IF(L129="No","Pendiente de descarga",IF(M129="No","Pendiente de borrado",IF(Q129&lt;Resumen!$C$4,"Liberar espacio","Preparada")))),"Revisar tipo")))))</f>
        <v/>
      </c>
      <c r="S129" s="25">
        <f>IF(A129="","",IF(I129&lt;&gt;"Activo","Soporte no disponible",IF(O129="Sí","Asignado a "&amp;P129,IF(R129="Preparada","",IF(R129="Cargar","Recargar antes de asignar",IF(R129="Pendiente de descarga","Comprobar la descarga antes de borrar",IF(R129="Pendiente de borrado","Borrar después de verificar la descarga",IF(R129="Liberar espacio","Espacio libre inferior al mínimo","Completar la revisión"))))))))</f>
        <v/>
      </c>
      <c r="T129" s="26" t="n"/>
    </row>
    <row r="130" ht="22" customHeight="1">
      <c r="A130" s="20" t="n"/>
      <c r="B130" s="20" t="n"/>
      <c r="C130" s="20" t="n"/>
      <c r="D130" s="20" t="n"/>
      <c r="E130" s="20" t="n"/>
      <c r="F130" s="20" t="n"/>
      <c r="G130" s="21" t="n"/>
      <c r="H130" s="20" t="n"/>
      <c r="I130" s="20" t="n"/>
      <c r="J130" s="20" t="n"/>
      <c r="K130" s="21" t="n"/>
      <c r="L130" s="20" t="n"/>
      <c r="M130" s="20" t="n"/>
      <c r="N130" s="22" t="n"/>
      <c r="O130" s="23">
        <f>IF(A130="","",IF(COUNTIFS(tblControl[ID del soporte],A130,tblControl[Estado del control],"Abierto")&gt;0,"Sí","No"))</f>
        <v/>
      </c>
      <c r="P130" s="23">
        <f>IF(A130="","",IFERROR(_xlfn.XLOOKUP(1,(tblControl[ID del soporte]=A130)*(tblControl[Estado del control]="Abierto"),tblControl[ID de sesión],"",0,-1),""))</f>
        <v/>
      </c>
      <c r="Q130" s="24">
        <f>IF(A130="","",IF(B130&lt;&gt;"Tarjeta","",IFERROR(K130/G130,"")))</f>
        <v/>
      </c>
      <c r="R130" s="23">
        <f>IF(A130="","",IF(I130&lt;&gt;"Activo","No disponible",IF(O130="Sí","Asignada",IF(B130="Batería",IF(J130="","Sin revisar",IF(J130&lt;Resumen!$C$3,"Cargar","Preparada")),IF(B130="Tarjeta",IF(OR(G130="",K130=""),"Sin revisar",IF(L130="No","Pendiente de descarga",IF(M130="No","Pendiente de borrado",IF(Q130&lt;Resumen!$C$4,"Liberar espacio","Preparada")))),"Revisar tipo")))))</f>
        <v/>
      </c>
      <c r="S130" s="25">
        <f>IF(A130="","",IF(I130&lt;&gt;"Activo","Soporte no disponible",IF(O130="Sí","Asignado a "&amp;P130,IF(R130="Preparada","",IF(R130="Cargar","Recargar antes de asignar",IF(R130="Pendiente de descarga","Comprobar la descarga antes de borrar",IF(R130="Pendiente de borrado","Borrar después de verificar la descarga",IF(R130="Liberar espacio","Espacio libre inferior al mínimo","Completar la revisión"))))))))</f>
        <v/>
      </c>
      <c r="T130" s="26" t="n"/>
    </row>
    <row r="131" ht="22" customHeight="1">
      <c r="A131" s="20" t="n"/>
      <c r="B131" s="20" t="n"/>
      <c r="C131" s="20" t="n"/>
      <c r="D131" s="20" t="n"/>
      <c r="E131" s="20" t="n"/>
      <c r="F131" s="20" t="n"/>
      <c r="G131" s="21" t="n"/>
      <c r="H131" s="20" t="n"/>
      <c r="I131" s="20" t="n"/>
      <c r="J131" s="20" t="n"/>
      <c r="K131" s="21" t="n"/>
      <c r="L131" s="20" t="n"/>
      <c r="M131" s="20" t="n"/>
      <c r="N131" s="22" t="n"/>
      <c r="O131" s="23">
        <f>IF(A131="","",IF(COUNTIFS(tblControl[ID del soporte],A131,tblControl[Estado del control],"Abierto")&gt;0,"Sí","No"))</f>
        <v/>
      </c>
      <c r="P131" s="23">
        <f>IF(A131="","",IFERROR(_xlfn.XLOOKUP(1,(tblControl[ID del soporte]=A131)*(tblControl[Estado del control]="Abierto"),tblControl[ID de sesión],"",0,-1),""))</f>
        <v/>
      </c>
      <c r="Q131" s="24">
        <f>IF(A131="","",IF(B131&lt;&gt;"Tarjeta","",IFERROR(K131/G131,"")))</f>
        <v/>
      </c>
      <c r="R131" s="23">
        <f>IF(A131="","",IF(I131&lt;&gt;"Activo","No disponible",IF(O131="Sí","Asignada",IF(B131="Batería",IF(J131="","Sin revisar",IF(J131&lt;Resumen!$C$3,"Cargar","Preparada")),IF(B131="Tarjeta",IF(OR(G131="",K131=""),"Sin revisar",IF(L131="No","Pendiente de descarga",IF(M131="No","Pendiente de borrado",IF(Q131&lt;Resumen!$C$4,"Liberar espacio","Preparada")))),"Revisar tipo")))))</f>
        <v/>
      </c>
      <c r="S131" s="25">
        <f>IF(A131="","",IF(I131&lt;&gt;"Activo","Soporte no disponible",IF(O131="Sí","Asignado a "&amp;P131,IF(R131="Preparada","",IF(R131="Cargar","Recargar antes de asignar",IF(R131="Pendiente de descarga","Comprobar la descarga antes de borrar",IF(R131="Pendiente de borrado","Borrar después de verificar la descarga",IF(R131="Liberar espacio","Espacio libre inferior al mínimo","Completar la revisión"))))))))</f>
        <v/>
      </c>
      <c r="T131" s="26" t="n"/>
    </row>
    <row r="132" ht="22" customHeight="1">
      <c r="A132" s="20" t="n"/>
      <c r="B132" s="20" t="n"/>
      <c r="C132" s="20" t="n"/>
      <c r="D132" s="20" t="n"/>
      <c r="E132" s="20" t="n"/>
      <c r="F132" s="20" t="n"/>
      <c r="G132" s="21" t="n"/>
      <c r="H132" s="20" t="n"/>
      <c r="I132" s="20" t="n"/>
      <c r="J132" s="20" t="n"/>
      <c r="K132" s="21" t="n"/>
      <c r="L132" s="20" t="n"/>
      <c r="M132" s="20" t="n"/>
      <c r="N132" s="22" t="n"/>
      <c r="O132" s="23">
        <f>IF(A132="","",IF(COUNTIFS(tblControl[ID del soporte],A132,tblControl[Estado del control],"Abierto")&gt;0,"Sí","No"))</f>
        <v/>
      </c>
      <c r="P132" s="23">
        <f>IF(A132="","",IFERROR(_xlfn.XLOOKUP(1,(tblControl[ID del soporte]=A132)*(tblControl[Estado del control]="Abierto"),tblControl[ID de sesión],"",0,-1),""))</f>
        <v/>
      </c>
      <c r="Q132" s="24">
        <f>IF(A132="","",IF(B132&lt;&gt;"Tarjeta","",IFERROR(K132/G132,"")))</f>
        <v/>
      </c>
      <c r="R132" s="23">
        <f>IF(A132="","",IF(I132&lt;&gt;"Activo","No disponible",IF(O132="Sí","Asignada",IF(B132="Batería",IF(J132="","Sin revisar",IF(J132&lt;Resumen!$C$3,"Cargar","Preparada")),IF(B132="Tarjeta",IF(OR(G132="",K132=""),"Sin revisar",IF(L132="No","Pendiente de descarga",IF(M132="No","Pendiente de borrado",IF(Q132&lt;Resumen!$C$4,"Liberar espacio","Preparada")))),"Revisar tipo")))))</f>
        <v/>
      </c>
      <c r="S132" s="25">
        <f>IF(A132="","",IF(I132&lt;&gt;"Activo","Soporte no disponible",IF(O132="Sí","Asignado a "&amp;P132,IF(R132="Preparada","",IF(R132="Cargar","Recargar antes de asignar",IF(R132="Pendiente de descarga","Comprobar la descarga antes de borrar",IF(R132="Pendiente de borrado","Borrar después de verificar la descarga",IF(R132="Liberar espacio","Espacio libre inferior al mínimo","Completar la revisión"))))))))</f>
        <v/>
      </c>
      <c r="T132" s="26" t="n"/>
    </row>
    <row r="133" ht="22" customHeight="1">
      <c r="A133" s="20" t="n"/>
      <c r="B133" s="20" t="n"/>
      <c r="C133" s="20" t="n"/>
      <c r="D133" s="20" t="n"/>
      <c r="E133" s="20" t="n"/>
      <c r="F133" s="20" t="n"/>
      <c r="G133" s="21" t="n"/>
      <c r="H133" s="20" t="n"/>
      <c r="I133" s="20" t="n"/>
      <c r="J133" s="20" t="n"/>
      <c r="K133" s="21" t="n"/>
      <c r="L133" s="20" t="n"/>
      <c r="M133" s="20" t="n"/>
      <c r="N133" s="22" t="n"/>
      <c r="O133" s="23">
        <f>IF(A133="","",IF(COUNTIFS(tblControl[ID del soporte],A133,tblControl[Estado del control],"Abierto")&gt;0,"Sí","No"))</f>
        <v/>
      </c>
      <c r="P133" s="23">
        <f>IF(A133="","",IFERROR(_xlfn.XLOOKUP(1,(tblControl[ID del soporte]=A133)*(tblControl[Estado del control]="Abierto"),tblControl[ID de sesión],"",0,-1),""))</f>
        <v/>
      </c>
      <c r="Q133" s="24">
        <f>IF(A133="","",IF(B133&lt;&gt;"Tarjeta","",IFERROR(K133/G133,"")))</f>
        <v/>
      </c>
      <c r="R133" s="23">
        <f>IF(A133="","",IF(I133&lt;&gt;"Activo","No disponible",IF(O133="Sí","Asignada",IF(B133="Batería",IF(J133="","Sin revisar",IF(J133&lt;Resumen!$C$3,"Cargar","Preparada")),IF(B133="Tarjeta",IF(OR(G133="",K133=""),"Sin revisar",IF(L133="No","Pendiente de descarga",IF(M133="No","Pendiente de borrado",IF(Q133&lt;Resumen!$C$4,"Liberar espacio","Preparada")))),"Revisar tipo")))))</f>
        <v/>
      </c>
      <c r="S133" s="25">
        <f>IF(A133="","",IF(I133&lt;&gt;"Activo","Soporte no disponible",IF(O133="Sí","Asignado a "&amp;P133,IF(R133="Preparada","",IF(R133="Cargar","Recargar antes de asignar",IF(R133="Pendiente de descarga","Comprobar la descarga antes de borrar",IF(R133="Pendiente de borrado","Borrar después de verificar la descarga",IF(R133="Liberar espacio","Espacio libre inferior al mínimo","Completar la revisión"))))))))</f>
        <v/>
      </c>
      <c r="T133" s="26" t="n"/>
    </row>
    <row r="134" ht="22" customHeight="1">
      <c r="A134" s="20" t="n"/>
      <c r="B134" s="20" t="n"/>
      <c r="C134" s="20" t="n"/>
      <c r="D134" s="20" t="n"/>
      <c r="E134" s="20" t="n"/>
      <c r="F134" s="20" t="n"/>
      <c r="G134" s="21" t="n"/>
      <c r="H134" s="20" t="n"/>
      <c r="I134" s="20" t="n"/>
      <c r="J134" s="20" t="n"/>
      <c r="K134" s="21" t="n"/>
      <c r="L134" s="20" t="n"/>
      <c r="M134" s="20" t="n"/>
      <c r="N134" s="22" t="n"/>
      <c r="O134" s="23">
        <f>IF(A134="","",IF(COUNTIFS(tblControl[ID del soporte],A134,tblControl[Estado del control],"Abierto")&gt;0,"Sí","No"))</f>
        <v/>
      </c>
      <c r="P134" s="23">
        <f>IF(A134="","",IFERROR(_xlfn.XLOOKUP(1,(tblControl[ID del soporte]=A134)*(tblControl[Estado del control]="Abierto"),tblControl[ID de sesión],"",0,-1),""))</f>
        <v/>
      </c>
      <c r="Q134" s="24">
        <f>IF(A134="","",IF(B134&lt;&gt;"Tarjeta","",IFERROR(K134/G134,"")))</f>
        <v/>
      </c>
      <c r="R134" s="23">
        <f>IF(A134="","",IF(I134&lt;&gt;"Activo","No disponible",IF(O134="Sí","Asignada",IF(B134="Batería",IF(J134="","Sin revisar",IF(J134&lt;Resumen!$C$3,"Cargar","Preparada")),IF(B134="Tarjeta",IF(OR(G134="",K134=""),"Sin revisar",IF(L134="No","Pendiente de descarga",IF(M134="No","Pendiente de borrado",IF(Q134&lt;Resumen!$C$4,"Liberar espacio","Preparada")))),"Revisar tipo")))))</f>
        <v/>
      </c>
      <c r="S134" s="25">
        <f>IF(A134="","",IF(I134&lt;&gt;"Activo","Soporte no disponible",IF(O134="Sí","Asignado a "&amp;P134,IF(R134="Preparada","",IF(R134="Cargar","Recargar antes de asignar",IF(R134="Pendiente de descarga","Comprobar la descarga antes de borrar",IF(R134="Pendiente de borrado","Borrar después de verificar la descarga",IF(R134="Liberar espacio","Espacio libre inferior al mínimo","Completar la revisión"))))))))</f>
        <v/>
      </c>
      <c r="T134" s="26" t="n"/>
    </row>
    <row r="135" ht="22" customHeight="1">
      <c r="A135" s="20" t="n"/>
      <c r="B135" s="20" t="n"/>
      <c r="C135" s="20" t="n"/>
      <c r="D135" s="20" t="n"/>
      <c r="E135" s="20" t="n"/>
      <c r="F135" s="20" t="n"/>
      <c r="G135" s="21" t="n"/>
      <c r="H135" s="20" t="n"/>
      <c r="I135" s="20" t="n"/>
      <c r="J135" s="20" t="n"/>
      <c r="K135" s="21" t="n"/>
      <c r="L135" s="20" t="n"/>
      <c r="M135" s="20" t="n"/>
      <c r="N135" s="22" t="n"/>
      <c r="O135" s="23">
        <f>IF(A135="","",IF(COUNTIFS(tblControl[ID del soporte],A135,tblControl[Estado del control],"Abierto")&gt;0,"Sí","No"))</f>
        <v/>
      </c>
      <c r="P135" s="23">
        <f>IF(A135="","",IFERROR(_xlfn.XLOOKUP(1,(tblControl[ID del soporte]=A135)*(tblControl[Estado del control]="Abierto"),tblControl[ID de sesión],"",0,-1),""))</f>
        <v/>
      </c>
      <c r="Q135" s="24">
        <f>IF(A135="","",IF(B135&lt;&gt;"Tarjeta","",IFERROR(K135/G135,"")))</f>
        <v/>
      </c>
      <c r="R135" s="23">
        <f>IF(A135="","",IF(I135&lt;&gt;"Activo","No disponible",IF(O135="Sí","Asignada",IF(B135="Batería",IF(J135="","Sin revisar",IF(J135&lt;Resumen!$C$3,"Cargar","Preparada")),IF(B135="Tarjeta",IF(OR(G135="",K135=""),"Sin revisar",IF(L135="No","Pendiente de descarga",IF(M135="No","Pendiente de borrado",IF(Q135&lt;Resumen!$C$4,"Liberar espacio","Preparada")))),"Revisar tipo")))))</f>
        <v/>
      </c>
      <c r="S135" s="25">
        <f>IF(A135="","",IF(I135&lt;&gt;"Activo","Soporte no disponible",IF(O135="Sí","Asignado a "&amp;P135,IF(R135="Preparada","",IF(R135="Cargar","Recargar antes de asignar",IF(R135="Pendiente de descarga","Comprobar la descarga antes de borrar",IF(R135="Pendiente de borrado","Borrar después de verificar la descarga",IF(R135="Liberar espacio","Espacio libre inferior al mínimo","Completar la revisión"))))))))</f>
        <v/>
      </c>
      <c r="T135" s="26" t="n"/>
    </row>
    <row r="136" ht="22" customHeight="1">
      <c r="A136" s="20" t="n"/>
      <c r="B136" s="20" t="n"/>
      <c r="C136" s="20" t="n"/>
      <c r="D136" s="20" t="n"/>
      <c r="E136" s="20" t="n"/>
      <c r="F136" s="20" t="n"/>
      <c r="G136" s="21" t="n"/>
      <c r="H136" s="20" t="n"/>
      <c r="I136" s="20" t="n"/>
      <c r="J136" s="20" t="n"/>
      <c r="K136" s="21" t="n"/>
      <c r="L136" s="20" t="n"/>
      <c r="M136" s="20" t="n"/>
      <c r="N136" s="22" t="n"/>
      <c r="O136" s="23">
        <f>IF(A136="","",IF(COUNTIFS(tblControl[ID del soporte],A136,tblControl[Estado del control],"Abierto")&gt;0,"Sí","No"))</f>
        <v/>
      </c>
      <c r="P136" s="23">
        <f>IF(A136="","",IFERROR(_xlfn.XLOOKUP(1,(tblControl[ID del soporte]=A136)*(tblControl[Estado del control]="Abierto"),tblControl[ID de sesión],"",0,-1),""))</f>
        <v/>
      </c>
      <c r="Q136" s="24">
        <f>IF(A136="","",IF(B136&lt;&gt;"Tarjeta","",IFERROR(K136/G136,"")))</f>
        <v/>
      </c>
      <c r="R136" s="23">
        <f>IF(A136="","",IF(I136&lt;&gt;"Activo","No disponible",IF(O136="Sí","Asignada",IF(B136="Batería",IF(J136="","Sin revisar",IF(J136&lt;Resumen!$C$3,"Cargar","Preparada")),IF(B136="Tarjeta",IF(OR(G136="",K136=""),"Sin revisar",IF(L136="No","Pendiente de descarga",IF(M136="No","Pendiente de borrado",IF(Q136&lt;Resumen!$C$4,"Liberar espacio","Preparada")))),"Revisar tipo")))))</f>
        <v/>
      </c>
      <c r="S136" s="25">
        <f>IF(A136="","",IF(I136&lt;&gt;"Activo","Soporte no disponible",IF(O136="Sí","Asignado a "&amp;P136,IF(R136="Preparada","",IF(R136="Cargar","Recargar antes de asignar",IF(R136="Pendiente de descarga","Comprobar la descarga antes de borrar",IF(R136="Pendiente de borrado","Borrar después de verificar la descarga",IF(R136="Liberar espacio","Espacio libre inferior al mínimo","Completar la revisión"))))))))</f>
        <v/>
      </c>
      <c r="T136" s="26" t="n"/>
    </row>
    <row r="137" ht="22" customHeight="1">
      <c r="A137" s="20" t="n"/>
      <c r="B137" s="20" t="n"/>
      <c r="C137" s="20" t="n"/>
      <c r="D137" s="20" t="n"/>
      <c r="E137" s="20" t="n"/>
      <c r="F137" s="20" t="n"/>
      <c r="G137" s="21" t="n"/>
      <c r="H137" s="20" t="n"/>
      <c r="I137" s="20" t="n"/>
      <c r="J137" s="20" t="n"/>
      <c r="K137" s="21" t="n"/>
      <c r="L137" s="20" t="n"/>
      <c r="M137" s="20" t="n"/>
      <c r="N137" s="22" t="n"/>
      <c r="O137" s="23">
        <f>IF(A137="","",IF(COUNTIFS(tblControl[ID del soporte],A137,tblControl[Estado del control],"Abierto")&gt;0,"Sí","No"))</f>
        <v/>
      </c>
      <c r="P137" s="23">
        <f>IF(A137="","",IFERROR(_xlfn.XLOOKUP(1,(tblControl[ID del soporte]=A137)*(tblControl[Estado del control]="Abierto"),tblControl[ID de sesión],"",0,-1),""))</f>
        <v/>
      </c>
      <c r="Q137" s="24">
        <f>IF(A137="","",IF(B137&lt;&gt;"Tarjeta","",IFERROR(K137/G137,"")))</f>
        <v/>
      </c>
      <c r="R137" s="23">
        <f>IF(A137="","",IF(I137&lt;&gt;"Activo","No disponible",IF(O137="Sí","Asignada",IF(B137="Batería",IF(J137="","Sin revisar",IF(J137&lt;Resumen!$C$3,"Cargar","Preparada")),IF(B137="Tarjeta",IF(OR(G137="",K137=""),"Sin revisar",IF(L137="No","Pendiente de descarga",IF(M137="No","Pendiente de borrado",IF(Q137&lt;Resumen!$C$4,"Liberar espacio","Preparada")))),"Revisar tipo")))))</f>
        <v/>
      </c>
      <c r="S137" s="25">
        <f>IF(A137="","",IF(I137&lt;&gt;"Activo","Soporte no disponible",IF(O137="Sí","Asignado a "&amp;P137,IF(R137="Preparada","",IF(R137="Cargar","Recargar antes de asignar",IF(R137="Pendiente de descarga","Comprobar la descarga antes de borrar",IF(R137="Pendiente de borrado","Borrar después de verificar la descarga",IF(R137="Liberar espacio","Espacio libre inferior al mínimo","Completar la revisión"))))))))</f>
        <v/>
      </c>
      <c r="T137" s="26" t="n"/>
    </row>
    <row r="138" ht="22" customHeight="1">
      <c r="A138" s="20" t="n"/>
      <c r="B138" s="20" t="n"/>
      <c r="C138" s="20" t="n"/>
      <c r="D138" s="20" t="n"/>
      <c r="E138" s="20" t="n"/>
      <c r="F138" s="20" t="n"/>
      <c r="G138" s="21" t="n"/>
      <c r="H138" s="20" t="n"/>
      <c r="I138" s="20" t="n"/>
      <c r="J138" s="20" t="n"/>
      <c r="K138" s="21" t="n"/>
      <c r="L138" s="20" t="n"/>
      <c r="M138" s="20" t="n"/>
      <c r="N138" s="22" t="n"/>
      <c r="O138" s="23">
        <f>IF(A138="","",IF(COUNTIFS(tblControl[ID del soporte],A138,tblControl[Estado del control],"Abierto")&gt;0,"Sí","No"))</f>
        <v/>
      </c>
      <c r="P138" s="23">
        <f>IF(A138="","",IFERROR(_xlfn.XLOOKUP(1,(tblControl[ID del soporte]=A138)*(tblControl[Estado del control]="Abierto"),tblControl[ID de sesión],"",0,-1),""))</f>
        <v/>
      </c>
      <c r="Q138" s="24">
        <f>IF(A138="","",IF(B138&lt;&gt;"Tarjeta","",IFERROR(K138/G138,"")))</f>
        <v/>
      </c>
      <c r="R138" s="23">
        <f>IF(A138="","",IF(I138&lt;&gt;"Activo","No disponible",IF(O138="Sí","Asignada",IF(B138="Batería",IF(J138="","Sin revisar",IF(J138&lt;Resumen!$C$3,"Cargar","Preparada")),IF(B138="Tarjeta",IF(OR(G138="",K138=""),"Sin revisar",IF(L138="No","Pendiente de descarga",IF(M138="No","Pendiente de borrado",IF(Q138&lt;Resumen!$C$4,"Liberar espacio","Preparada")))),"Revisar tipo")))))</f>
        <v/>
      </c>
      <c r="S138" s="25">
        <f>IF(A138="","",IF(I138&lt;&gt;"Activo","Soporte no disponible",IF(O138="Sí","Asignado a "&amp;P138,IF(R138="Preparada","",IF(R138="Cargar","Recargar antes de asignar",IF(R138="Pendiente de descarga","Comprobar la descarga antes de borrar",IF(R138="Pendiente de borrado","Borrar después de verificar la descarga",IF(R138="Liberar espacio","Espacio libre inferior al mínimo","Completar la revisión"))))))))</f>
        <v/>
      </c>
      <c r="T138" s="26" t="n"/>
    </row>
    <row r="139" ht="22" customHeight="1">
      <c r="A139" s="20" t="n"/>
      <c r="B139" s="20" t="n"/>
      <c r="C139" s="20" t="n"/>
      <c r="D139" s="20" t="n"/>
      <c r="E139" s="20" t="n"/>
      <c r="F139" s="20" t="n"/>
      <c r="G139" s="21" t="n"/>
      <c r="H139" s="20" t="n"/>
      <c r="I139" s="20" t="n"/>
      <c r="J139" s="20" t="n"/>
      <c r="K139" s="21" t="n"/>
      <c r="L139" s="20" t="n"/>
      <c r="M139" s="20" t="n"/>
      <c r="N139" s="22" t="n"/>
      <c r="O139" s="23">
        <f>IF(A139="","",IF(COUNTIFS(tblControl[ID del soporte],A139,tblControl[Estado del control],"Abierto")&gt;0,"Sí","No"))</f>
        <v/>
      </c>
      <c r="P139" s="23">
        <f>IF(A139="","",IFERROR(_xlfn.XLOOKUP(1,(tblControl[ID del soporte]=A139)*(tblControl[Estado del control]="Abierto"),tblControl[ID de sesión],"",0,-1),""))</f>
        <v/>
      </c>
      <c r="Q139" s="24">
        <f>IF(A139="","",IF(B139&lt;&gt;"Tarjeta","",IFERROR(K139/G139,"")))</f>
        <v/>
      </c>
      <c r="R139" s="23">
        <f>IF(A139="","",IF(I139&lt;&gt;"Activo","No disponible",IF(O139="Sí","Asignada",IF(B139="Batería",IF(J139="","Sin revisar",IF(J139&lt;Resumen!$C$3,"Cargar","Preparada")),IF(B139="Tarjeta",IF(OR(G139="",K139=""),"Sin revisar",IF(L139="No","Pendiente de descarga",IF(M139="No","Pendiente de borrado",IF(Q139&lt;Resumen!$C$4,"Liberar espacio","Preparada")))),"Revisar tipo")))))</f>
        <v/>
      </c>
      <c r="S139" s="25">
        <f>IF(A139="","",IF(I139&lt;&gt;"Activo","Soporte no disponible",IF(O139="Sí","Asignado a "&amp;P139,IF(R139="Preparada","",IF(R139="Cargar","Recargar antes de asignar",IF(R139="Pendiente de descarga","Comprobar la descarga antes de borrar",IF(R139="Pendiente de borrado","Borrar después de verificar la descarga",IF(R139="Liberar espacio","Espacio libre inferior al mínimo","Completar la revisión"))))))))</f>
        <v/>
      </c>
      <c r="T139" s="26" t="n"/>
    </row>
    <row r="140" ht="22" customHeight="1">
      <c r="A140" s="20" t="n"/>
      <c r="B140" s="20" t="n"/>
      <c r="C140" s="20" t="n"/>
      <c r="D140" s="20" t="n"/>
      <c r="E140" s="20" t="n"/>
      <c r="F140" s="20" t="n"/>
      <c r="G140" s="21" t="n"/>
      <c r="H140" s="20" t="n"/>
      <c r="I140" s="20" t="n"/>
      <c r="J140" s="20" t="n"/>
      <c r="K140" s="21" t="n"/>
      <c r="L140" s="20" t="n"/>
      <c r="M140" s="20" t="n"/>
      <c r="N140" s="22" t="n"/>
      <c r="O140" s="23">
        <f>IF(A140="","",IF(COUNTIFS(tblControl[ID del soporte],A140,tblControl[Estado del control],"Abierto")&gt;0,"Sí","No"))</f>
        <v/>
      </c>
      <c r="P140" s="23">
        <f>IF(A140="","",IFERROR(_xlfn.XLOOKUP(1,(tblControl[ID del soporte]=A140)*(tblControl[Estado del control]="Abierto"),tblControl[ID de sesión],"",0,-1),""))</f>
        <v/>
      </c>
      <c r="Q140" s="24">
        <f>IF(A140="","",IF(B140&lt;&gt;"Tarjeta","",IFERROR(K140/G140,"")))</f>
        <v/>
      </c>
      <c r="R140" s="23">
        <f>IF(A140="","",IF(I140&lt;&gt;"Activo","No disponible",IF(O140="Sí","Asignada",IF(B140="Batería",IF(J140="","Sin revisar",IF(J140&lt;Resumen!$C$3,"Cargar","Preparada")),IF(B140="Tarjeta",IF(OR(G140="",K140=""),"Sin revisar",IF(L140="No","Pendiente de descarga",IF(M140="No","Pendiente de borrado",IF(Q140&lt;Resumen!$C$4,"Liberar espacio","Preparada")))),"Revisar tipo")))))</f>
        <v/>
      </c>
      <c r="S140" s="25">
        <f>IF(A140="","",IF(I140&lt;&gt;"Activo","Soporte no disponible",IF(O140="Sí","Asignado a "&amp;P140,IF(R140="Preparada","",IF(R140="Cargar","Recargar antes de asignar",IF(R140="Pendiente de descarga","Comprobar la descarga antes de borrar",IF(R140="Pendiente de borrado","Borrar después de verificar la descarga",IF(R140="Liberar espacio","Espacio libre inferior al mínimo","Completar la revisión"))))))))</f>
        <v/>
      </c>
      <c r="T140" s="26" t="n"/>
    </row>
    <row r="141" ht="22" customHeight="1">
      <c r="A141" s="20" t="n"/>
      <c r="B141" s="20" t="n"/>
      <c r="C141" s="20" t="n"/>
      <c r="D141" s="20" t="n"/>
      <c r="E141" s="20" t="n"/>
      <c r="F141" s="20" t="n"/>
      <c r="G141" s="21" t="n"/>
      <c r="H141" s="20" t="n"/>
      <c r="I141" s="20" t="n"/>
      <c r="J141" s="20" t="n"/>
      <c r="K141" s="21" t="n"/>
      <c r="L141" s="20" t="n"/>
      <c r="M141" s="20" t="n"/>
      <c r="N141" s="22" t="n"/>
      <c r="O141" s="23">
        <f>IF(A141="","",IF(COUNTIFS(tblControl[ID del soporte],A141,tblControl[Estado del control],"Abierto")&gt;0,"Sí","No"))</f>
        <v/>
      </c>
      <c r="P141" s="23">
        <f>IF(A141="","",IFERROR(_xlfn.XLOOKUP(1,(tblControl[ID del soporte]=A141)*(tblControl[Estado del control]="Abierto"),tblControl[ID de sesión],"",0,-1),""))</f>
        <v/>
      </c>
      <c r="Q141" s="24">
        <f>IF(A141="","",IF(B141&lt;&gt;"Tarjeta","",IFERROR(K141/G141,"")))</f>
        <v/>
      </c>
      <c r="R141" s="23">
        <f>IF(A141="","",IF(I141&lt;&gt;"Activo","No disponible",IF(O141="Sí","Asignada",IF(B141="Batería",IF(J141="","Sin revisar",IF(J141&lt;Resumen!$C$3,"Cargar","Preparada")),IF(B141="Tarjeta",IF(OR(G141="",K141=""),"Sin revisar",IF(L141="No","Pendiente de descarga",IF(M141="No","Pendiente de borrado",IF(Q141&lt;Resumen!$C$4,"Liberar espacio","Preparada")))),"Revisar tipo")))))</f>
        <v/>
      </c>
      <c r="S141" s="25">
        <f>IF(A141="","",IF(I141&lt;&gt;"Activo","Soporte no disponible",IF(O141="Sí","Asignado a "&amp;P141,IF(R141="Preparada","",IF(R141="Cargar","Recargar antes de asignar",IF(R141="Pendiente de descarga","Comprobar la descarga antes de borrar",IF(R141="Pendiente de borrado","Borrar después de verificar la descarga",IF(R141="Liberar espacio","Espacio libre inferior al mínimo","Completar la revisión"))))))))</f>
        <v/>
      </c>
      <c r="T141" s="26" t="n"/>
    </row>
    <row r="142" ht="22" customHeight="1">
      <c r="A142" s="20" t="n"/>
      <c r="B142" s="20" t="n"/>
      <c r="C142" s="20" t="n"/>
      <c r="D142" s="20" t="n"/>
      <c r="E142" s="20" t="n"/>
      <c r="F142" s="20" t="n"/>
      <c r="G142" s="21" t="n"/>
      <c r="H142" s="20" t="n"/>
      <c r="I142" s="20" t="n"/>
      <c r="J142" s="20" t="n"/>
      <c r="K142" s="21" t="n"/>
      <c r="L142" s="20" t="n"/>
      <c r="M142" s="20" t="n"/>
      <c r="N142" s="22" t="n"/>
      <c r="O142" s="23">
        <f>IF(A142="","",IF(COUNTIFS(tblControl[ID del soporte],A142,tblControl[Estado del control],"Abierto")&gt;0,"Sí","No"))</f>
        <v/>
      </c>
      <c r="P142" s="23">
        <f>IF(A142="","",IFERROR(_xlfn.XLOOKUP(1,(tblControl[ID del soporte]=A142)*(tblControl[Estado del control]="Abierto"),tblControl[ID de sesión],"",0,-1),""))</f>
        <v/>
      </c>
      <c r="Q142" s="24">
        <f>IF(A142="","",IF(B142&lt;&gt;"Tarjeta","",IFERROR(K142/G142,"")))</f>
        <v/>
      </c>
      <c r="R142" s="23">
        <f>IF(A142="","",IF(I142&lt;&gt;"Activo","No disponible",IF(O142="Sí","Asignada",IF(B142="Batería",IF(J142="","Sin revisar",IF(J142&lt;Resumen!$C$3,"Cargar","Preparada")),IF(B142="Tarjeta",IF(OR(G142="",K142=""),"Sin revisar",IF(L142="No","Pendiente de descarga",IF(M142="No","Pendiente de borrado",IF(Q142&lt;Resumen!$C$4,"Liberar espacio","Preparada")))),"Revisar tipo")))))</f>
        <v/>
      </c>
      <c r="S142" s="25">
        <f>IF(A142="","",IF(I142&lt;&gt;"Activo","Soporte no disponible",IF(O142="Sí","Asignado a "&amp;P142,IF(R142="Preparada","",IF(R142="Cargar","Recargar antes de asignar",IF(R142="Pendiente de descarga","Comprobar la descarga antes de borrar",IF(R142="Pendiente de borrado","Borrar después de verificar la descarga",IF(R142="Liberar espacio","Espacio libre inferior al mínimo","Completar la revisión"))))))))</f>
        <v/>
      </c>
      <c r="T142" s="26" t="n"/>
    </row>
    <row r="143" ht="22" customHeight="1">
      <c r="A143" s="20" t="n"/>
      <c r="B143" s="20" t="n"/>
      <c r="C143" s="20" t="n"/>
      <c r="D143" s="20" t="n"/>
      <c r="E143" s="20" t="n"/>
      <c r="F143" s="20" t="n"/>
      <c r="G143" s="21" t="n"/>
      <c r="H143" s="20" t="n"/>
      <c r="I143" s="20" t="n"/>
      <c r="J143" s="20" t="n"/>
      <c r="K143" s="21" t="n"/>
      <c r="L143" s="20" t="n"/>
      <c r="M143" s="20" t="n"/>
      <c r="N143" s="22" t="n"/>
      <c r="O143" s="23">
        <f>IF(A143="","",IF(COUNTIFS(tblControl[ID del soporte],A143,tblControl[Estado del control],"Abierto")&gt;0,"Sí","No"))</f>
        <v/>
      </c>
      <c r="P143" s="23">
        <f>IF(A143="","",IFERROR(_xlfn.XLOOKUP(1,(tblControl[ID del soporte]=A143)*(tblControl[Estado del control]="Abierto"),tblControl[ID de sesión],"",0,-1),""))</f>
        <v/>
      </c>
      <c r="Q143" s="24">
        <f>IF(A143="","",IF(B143&lt;&gt;"Tarjeta","",IFERROR(K143/G143,"")))</f>
        <v/>
      </c>
      <c r="R143" s="23">
        <f>IF(A143="","",IF(I143&lt;&gt;"Activo","No disponible",IF(O143="Sí","Asignada",IF(B143="Batería",IF(J143="","Sin revisar",IF(J143&lt;Resumen!$C$3,"Cargar","Preparada")),IF(B143="Tarjeta",IF(OR(G143="",K143=""),"Sin revisar",IF(L143="No","Pendiente de descarga",IF(M143="No","Pendiente de borrado",IF(Q143&lt;Resumen!$C$4,"Liberar espacio","Preparada")))),"Revisar tipo")))))</f>
        <v/>
      </c>
      <c r="S143" s="25">
        <f>IF(A143="","",IF(I143&lt;&gt;"Activo","Soporte no disponible",IF(O143="Sí","Asignado a "&amp;P143,IF(R143="Preparada","",IF(R143="Cargar","Recargar antes de asignar",IF(R143="Pendiente de descarga","Comprobar la descarga antes de borrar",IF(R143="Pendiente de borrado","Borrar después de verificar la descarga",IF(R143="Liberar espacio","Espacio libre inferior al mínimo","Completar la revisión"))))))))</f>
        <v/>
      </c>
      <c r="T143" s="26" t="n"/>
    </row>
    <row r="144" ht="22" customHeight="1">
      <c r="A144" s="20" t="n"/>
      <c r="B144" s="20" t="n"/>
      <c r="C144" s="20" t="n"/>
      <c r="D144" s="20" t="n"/>
      <c r="E144" s="20" t="n"/>
      <c r="F144" s="20" t="n"/>
      <c r="G144" s="21" t="n"/>
      <c r="H144" s="20" t="n"/>
      <c r="I144" s="20" t="n"/>
      <c r="J144" s="20" t="n"/>
      <c r="K144" s="21" t="n"/>
      <c r="L144" s="20" t="n"/>
      <c r="M144" s="20" t="n"/>
      <c r="N144" s="22" t="n"/>
      <c r="O144" s="23">
        <f>IF(A144="","",IF(COUNTIFS(tblControl[ID del soporte],A144,tblControl[Estado del control],"Abierto")&gt;0,"Sí","No"))</f>
        <v/>
      </c>
      <c r="P144" s="23">
        <f>IF(A144="","",IFERROR(_xlfn.XLOOKUP(1,(tblControl[ID del soporte]=A144)*(tblControl[Estado del control]="Abierto"),tblControl[ID de sesión],"",0,-1),""))</f>
        <v/>
      </c>
      <c r="Q144" s="24">
        <f>IF(A144="","",IF(B144&lt;&gt;"Tarjeta","",IFERROR(K144/G144,"")))</f>
        <v/>
      </c>
      <c r="R144" s="23">
        <f>IF(A144="","",IF(I144&lt;&gt;"Activo","No disponible",IF(O144="Sí","Asignada",IF(B144="Batería",IF(J144="","Sin revisar",IF(J144&lt;Resumen!$C$3,"Cargar","Preparada")),IF(B144="Tarjeta",IF(OR(G144="",K144=""),"Sin revisar",IF(L144="No","Pendiente de descarga",IF(M144="No","Pendiente de borrado",IF(Q144&lt;Resumen!$C$4,"Liberar espacio","Preparada")))),"Revisar tipo")))))</f>
        <v/>
      </c>
      <c r="S144" s="25">
        <f>IF(A144="","",IF(I144&lt;&gt;"Activo","Soporte no disponible",IF(O144="Sí","Asignado a "&amp;P144,IF(R144="Preparada","",IF(R144="Cargar","Recargar antes de asignar",IF(R144="Pendiente de descarga","Comprobar la descarga antes de borrar",IF(R144="Pendiente de borrado","Borrar después de verificar la descarga",IF(R144="Liberar espacio","Espacio libre inferior al mínimo","Completar la revisión"))))))))</f>
        <v/>
      </c>
      <c r="T144" s="26" t="n"/>
    </row>
    <row r="145" ht="22" customHeight="1">
      <c r="A145" s="20" t="n"/>
      <c r="B145" s="20" t="n"/>
      <c r="C145" s="20" t="n"/>
      <c r="D145" s="20" t="n"/>
      <c r="E145" s="20" t="n"/>
      <c r="F145" s="20" t="n"/>
      <c r="G145" s="21" t="n"/>
      <c r="H145" s="20" t="n"/>
      <c r="I145" s="20" t="n"/>
      <c r="J145" s="20" t="n"/>
      <c r="K145" s="21" t="n"/>
      <c r="L145" s="20" t="n"/>
      <c r="M145" s="20" t="n"/>
      <c r="N145" s="22" t="n"/>
      <c r="O145" s="23">
        <f>IF(A145="","",IF(COUNTIFS(tblControl[ID del soporte],A145,tblControl[Estado del control],"Abierto")&gt;0,"Sí","No"))</f>
        <v/>
      </c>
      <c r="P145" s="23">
        <f>IF(A145="","",IFERROR(_xlfn.XLOOKUP(1,(tblControl[ID del soporte]=A145)*(tblControl[Estado del control]="Abierto"),tblControl[ID de sesión],"",0,-1),""))</f>
        <v/>
      </c>
      <c r="Q145" s="24">
        <f>IF(A145="","",IF(B145&lt;&gt;"Tarjeta","",IFERROR(K145/G145,"")))</f>
        <v/>
      </c>
      <c r="R145" s="23">
        <f>IF(A145="","",IF(I145&lt;&gt;"Activo","No disponible",IF(O145="Sí","Asignada",IF(B145="Batería",IF(J145="","Sin revisar",IF(J145&lt;Resumen!$C$3,"Cargar","Preparada")),IF(B145="Tarjeta",IF(OR(G145="",K145=""),"Sin revisar",IF(L145="No","Pendiente de descarga",IF(M145="No","Pendiente de borrado",IF(Q145&lt;Resumen!$C$4,"Liberar espacio","Preparada")))),"Revisar tipo")))))</f>
        <v/>
      </c>
      <c r="S145" s="25">
        <f>IF(A145="","",IF(I145&lt;&gt;"Activo","Soporte no disponible",IF(O145="Sí","Asignado a "&amp;P145,IF(R145="Preparada","",IF(R145="Cargar","Recargar antes de asignar",IF(R145="Pendiente de descarga","Comprobar la descarga antes de borrar",IF(R145="Pendiente de borrado","Borrar después de verificar la descarga",IF(R145="Liberar espacio","Espacio libre inferior al mínimo","Completar la revisión"))))))))</f>
        <v/>
      </c>
      <c r="T145" s="26" t="n"/>
    </row>
    <row r="146" ht="22" customHeight="1">
      <c r="A146" s="20" t="n"/>
      <c r="B146" s="20" t="n"/>
      <c r="C146" s="20" t="n"/>
      <c r="D146" s="20" t="n"/>
      <c r="E146" s="20" t="n"/>
      <c r="F146" s="20" t="n"/>
      <c r="G146" s="21" t="n"/>
      <c r="H146" s="20" t="n"/>
      <c r="I146" s="20" t="n"/>
      <c r="J146" s="20" t="n"/>
      <c r="K146" s="21" t="n"/>
      <c r="L146" s="20" t="n"/>
      <c r="M146" s="20" t="n"/>
      <c r="N146" s="22" t="n"/>
      <c r="O146" s="23">
        <f>IF(A146="","",IF(COUNTIFS(tblControl[ID del soporte],A146,tblControl[Estado del control],"Abierto")&gt;0,"Sí","No"))</f>
        <v/>
      </c>
      <c r="P146" s="23">
        <f>IF(A146="","",IFERROR(_xlfn.XLOOKUP(1,(tblControl[ID del soporte]=A146)*(tblControl[Estado del control]="Abierto"),tblControl[ID de sesión],"",0,-1),""))</f>
        <v/>
      </c>
      <c r="Q146" s="24">
        <f>IF(A146="","",IF(B146&lt;&gt;"Tarjeta","",IFERROR(K146/G146,"")))</f>
        <v/>
      </c>
      <c r="R146" s="23">
        <f>IF(A146="","",IF(I146&lt;&gt;"Activo","No disponible",IF(O146="Sí","Asignada",IF(B146="Batería",IF(J146="","Sin revisar",IF(J146&lt;Resumen!$C$3,"Cargar","Preparada")),IF(B146="Tarjeta",IF(OR(G146="",K146=""),"Sin revisar",IF(L146="No","Pendiente de descarga",IF(M146="No","Pendiente de borrado",IF(Q146&lt;Resumen!$C$4,"Liberar espacio","Preparada")))),"Revisar tipo")))))</f>
        <v/>
      </c>
      <c r="S146" s="25">
        <f>IF(A146="","",IF(I146&lt;&gt;"Activo","Soporte no disponible",IF(O146="Sí","Asignado a "&amp;P146,IF(R146="Preparada","",IF(R146="Cargar","Recargar antes de asignar",IF(R146="Pendiente de descarga","Comprobar la descarga antes de borrar",IF(R146="Pendiente de borrado","Borrar después de verificar la descarga",IF(R146="Liberar espacio","Espacio libre inferior al mínimo","Completar la revisión"))))))))</f>
        <v/>
      </c>
      <c r="T146" s="26" t="n"/>
    </row>
    <row r="147" ht="22" customHeight="1">
      <c r="A147" s="20" t="n"/>
      <c r="B147" s="20" t="n"/>
      <c r="C147" s="20" t="n"/>
      <c r="D147" s="20" t="n"/>
      <c r="E147" s="20" t="n"/>
      <c r="F147" s="20" t="n"/>
      <c r="G147" s="21" t="n"/>
      <c r="H147" s="20" t="n"/>
      <c r="I147" s="20" t="n"/>
      <c r="J147" s="20" t="n"/>
      <c r="K147" s="21" t="n"/>
      <c r="L147" s="20" t="n"/>
      <c r="M147" s="20" t="n"/>
      <c r="N147" s="22" t="n"/>
      <c r="O147" s="23">
        <f>IF(A147="","",IF(COUNTIFS(tblControl[ID del soporte],A147,tblControl[Estado del control],"Abierto")&gt;0,"Sí","No"))</f>
        <v/>
      </c>
      <c r="P147" s="23">
        <f>IF(A147="","",IFERROR(_xlfn.XLOOKUP(1,(tblControl[ID del soporte]=A147)*(tblControl[Estado del control]="Abierto"),tblControl[ID de sesión],"",0,-1),""))</f>
        <v/>
      </c>
      <c r="Q147" s="24">
        <f>IF(A147="","",IF(B147&lt;&gt;"Tarjeta","",IFERROR(K147/G147,"")))</f>
        <v/>
      </c>
      <c r="R147" s="23">
        <f>IF(A147="","",IF(I147&lt;&gt;"Activo","No disponible",IF(O147="Sí","Asignada",IF(B147="Batería",IF(J147="","Sin revisar",IF(J147&lt;Resumen!$C$3,"Cargar","Preparada")),IF(B147="Tarjeta",IF(OR(G147="",K147=""),"Sin revisar",IF(L147="No","Pendiente de descarga",IF(M147="No","Pendiente de borrado",IF(Q147&lt;Resumen!$C$4,"Liberar espacio","Preparada")))),"Revisar tipo")))))</f>
        <v/>
      </c>
      <c r="S147" s="25">
        <f>IF(A147="","",IF(I147&lt;&gt;"Activo","Soporte no disponible",IF(O147="Sí","Asignado a "&amp;P147,IF(R147="Preparada","",IF(R147="Cargar","Recargar antes de asignar",IF(R147="Pendiente de descarga","Comprobar la descarga antes de borrar",IF(R147="Pendiente de borrado","Borrar después de verificar la descarga",IF(R147="Liberar espacio","Espacio libre inferior al mínimo","Completar la revisión"))))))))</f>
        <v/>
      </c>
      <c r="T147" s="26" t="n"/>
    </row>
    <row r="148" ht="22" customHeight="1">
      <c r="A148" s="20" t="n"/>
      <c r="B148" s="20" t="n"/>
      <c r="C148" s="20" t="n"/>
      <c r="D148" s="20" t="n"/>
      <c r="E148" s="20" t="n"/>
      <c r="F148" s="20" t="n"/>
      <c r="G148" s="21" t="n"/>
      <c r="H148" s="20" t="n"/>
      <c r="I148" s="20" t="n"/>
      <c r="J148" s="20" t="n"/>
      <c r="K148" s="21" t="n"/>
      <c r="L148" s="20" t="n"/>
      <c r="M148" s="20" t="n"/>
      <c r="N148" s="22" t="n"/>
      <c r="O148" s="23">
        <f>IF(A148="","",IF(COUNTIFS(tblControl[ID del soporte],A148,tblControl[Estado del control],"Abierto")&gt;0,"Sí","No"))</f>
        <v/>
      </c>
      <c r="P148" s="23">
        <f>IF(A148="","",IFERROR(_xlfn.XLOOKUP(1,(tblControl[ID del soporte]=A148)*(tblControl[Estado del control]="Abierto"),tblControl[ID de sesión],"",0,-1),""))</f>
        <v/>
      </c>
      <c r="Q148" s="24">
        <f>IF(A148="","",IF(B148&lt;&gt;"Tarjeta","",IFERROR(K148/G148,"")))</f>
        <v/>
      </c>
      <c r="R148" s="23">
        <f>IF(A148="","",IF(I148&lt;&gt;"Activo","No disponible",IF(O148="Sí","Asignada",IF(B148="Batería",IF(J148="","Sin revisar",IF(J148&lt;Resumen!$C$3,"Cargar","Preparada")),IF(B148="Tarjeta",IF(OR(G148="",K148=""),"Sin revisar",IF(L148="No","Pendiente de descarga",IF(M148="No","Pendiente de borrado",IF(Q148&lt;Resumen!$C$4,"Liberar espacio","Preparada")))),"Revisar tipo")))))</f>
        <v/>
      </c>
      <c r="S148" s="25">
        <f>IF(A148="","",IF(I148&lt;&gt;"Activo","Soporte no disponible",IF(O148="Sí","Asignado a "&amp;P148,IF(R148="Preparada","",IF(R148="Cargar","Recargar antes de asignar",IF(R148="Pendiente de descarga","Comprobar la descarga antes de borrar",IF(R148="Pendiente de borrado","Borrar después de verificar la descarga",IF(R148="Liberar espacio","Espacio libre inferior al mínimo","Completar la revisión"))))))))</f>
        <v/>
      </c>
      <c r="T148" s="26" t="n"/>
    </row>
    <row r="149" ht="22" customHeight="1">
      <c r="A149" s="20" t="n"/>
      <c r="B149" s="20" t="n"/>
      <c r="C149" s="20" t="n"/>
      <c r="D149" s="20" t="n"/>
      <c r="E149" s="20" t="n"/>
      <c r="F149" s="20" t="n"/>
      <c r="G149" s="21" t="n"/>
      <c r="H149" s="20" t="n"/>
      <c r="I149" s="20" t="n"/>
      <c r="J149" s="20" t="n"/>
      <c r="K149" s="21" t="n"/>
      <c r="L149" s="20" t="n"/>
      <c r="M149" s="20" t="n"/>
      <c r="N149" s="22" t="n"/>
      <c r="O149" s="23">
        <f>IF(A149="","",IF(COUNTIFS(tblControl[ID del soporte],A149,tblControl[Estado del control],"Abierto")&gt;0,"Sí","No"))</f>
        <v/>
      </c>
      <c r="P149" s="23">
        <f>IF(A149="","",IFERROR(_xlfn.XLOOKUP(1,(tblControl[ID del soporte]=A149)*(tblControl[Estado del control]="Abierto"),tblControl[ID de sesión],"",0,-1),""))</f>
        <v/>
      </c>
      <c r="Q149" s="24">
        <f>IF(A149="","",IF(B149&lt;&gt;"Tarjeta","",IFERROR(K149/G149,"")))</f>
        <v/>
      </c>
      <c r="R149" s="23">
        <f>IF(A149="","",IF(I149&lt;&gt;"Activo","No disponible",IF(O149="Sí","Asignada",IF(B149="Batería",IF(J149="","Sin revisar",IF(J149&lt;Resumen!$C$3,"Cargar","Preparada")),IF(B149="Tarjeta",IF(OR(G149="",K149=""),"Sin revisar",IF(L149="No","Pendiente de descarga",IF(M149="No","Pendiente de borrado",IF(Q149&lt;Resumen!$C$4,"Liberar espacio","Preparada")))),"Revisar tipo")))))</f>
        <v/>
      </c>
      <c r="S149" s="25">
        <f>IF(A149="","",IF(I149&lt;&gt;"Activo","Soporte no disponible",IF(O149="Sí","Asignado a "&amp;P149,IF(R149="Preparada","",IF(R149="Cargar","Recargar antes de asignar",IF(R149="Pendiente de descarga","Comprobar la descarga antes de borrar",IF(R149="Pendiente de borrado","Borrar después de verificar la descarga",IF(R149="Liberar espacio","Espacio libre inferior al mínimo","Completar la revisión"))))))))</f>
        <v/>
      </c>
      <c r="T149" s="26" t="n"/>
    </row>
    <row r="150" ht="22" customHeight="1">
      <c r="A150" s="20" t="n"/>
      <c r="B150" s="20" t="n"/>
      <c r="C150" s="20" t="n"/>
      <c r="D150" s="20" t="n"/>
      <c r="E150" s="20" t="n"/>
      <c r="F150" s="20" t="n"/>
      <c r="G150" s="21" t="n"/>
      <c r="H150" s="20" t="n"/>
      <c r="I150" s="20" t="n"/>
      <c r="J150" s="20" t="n"/>
      <c r="K150" s="21" t="n"/>
      <c r="L150" s="20" t="n"/>
      <c r="M150" s="20" t="n"/>
      <c r="N150" s="22" t="n"/>
      <c r="O150" s="23">
        <f>IF(A150="","",IF(COUNTIFS(tblControl[ID del soporte],A150,tblControl[Estado del control],"Abierto")&gt;0,"Sí","No"))</f>
        <v/>
      </c>
      <c r="P150" s="23">
        <f>IF(A150="","",IFERROR(_xlfn.XLOOKUP(1,(tblControl[ID del soporte]=A150)*(tblControl[Estado del control]="Abierto"),tblControl[ID de sesión],"",0,-1),""))</f>
        <v/>
      </c>
      <c r="Q150" s="24">
        <f>IF(A150="","",IF(B150&lt;&gt;"Tarjeta","",IFERROR(K150/G150,"")))</f>
        <v/>
      </c>
      <c r="R150" s="23">
        <f>IF(A150="","",IF(I150&lt;&gt;"Activo","No disponible",IF(O150="Sí","Asignada",IF(B150="Batería",IF(J150="","Sin revisar",IF(J150&lt;Resumen!$C$3,"Cargar","Preparada")),IF(B150="Tarjeta",IF(OR(G150="",K150=""),"Sin revisar",IF(L150="No","Pendiente de descarga",IF(M150="No","Pendiente de borrado",IF(Q150&lt;Resumen!$C$4,"Liberar espacio","Preparada")))),"Revisar tipo")))))</f>
        <v/>
      </c>
      <c r="S150" s="25">
        <f>IF(A150="","",IF(I150&lt;&gt;"Activo","Soporte no disponible",IF(O150="Sí","Asignado a "&amp;P150,IF(R150="Preparada","",IF(R150="Cargar","Recargar antes de asignar",IF(R150="Pendiente de descarga","Comprobar la descarga antes de borrar",IF(R150="Pendiente de borrado","Borrar después de verificar la descarga",IF(R150="Liberar espacio","Espacio libre inferior al mínimo","Completar la revisión"))))))))</f>
        <v/>
      </c>
      <c r="T150" s="26" t="n"/>
    </row>
    <row r="151" ht="22" customHeight="1">
      <c r="A151" s="20" t="n"/>
      <c r="B151" s="20" t="n"/>
      <c r="C151" s="20" t="n"/>
      <c r="D151" s="20" t="n"/>
      <c r="E151" s="20" t="n"/>
      <c r="F151" s="20" t="n"/>
      <c r="G151" s="21" t="n"/>
      <c r="H151" s="20" t="n"/>
      <c r="I151" s="20" t="n"/>
      <c r="J151" s="20" t="n"/>
      <c r="K151" s="21" t="n"/>
      <c r="L151" s="20" t="n"/>
      <c r="M151" s="20" t="n"/>
      <c r="N151" s="22" t="n"/>
      <c r="O151" s="23">
        <f>IF(A151="","",IF(COUNTIFS(tblControl[ID del soporte],A151,tblControl[Estado del control],"Abierto")&gt;0,"Sí","No"))</f>
        <v/>
      </c>
      <c r="P151" s="23">
        <f>IF(A151="","",IFERROR(_xlfn.XLOOKUP(1,(tblControl[ID del soporte]=A151)*(tblControl[Estado del control]="Abierto"),tblControl[ID de sesión],"",0,-1),""))</f>
        <v/>
      </c>
      <c r="Q151" s="24">
        <f>IF(A151="","",IF(B151&lt;&gt;"Tarjeta","",IFERROR(K151/G151,"")))</f>
        <v/>
      </c>
      <c r="R151" s="23">
        <f>IF(A151="","",IF(I151&lt;&gt;"Activo","No disponible",IF(O151="Sí","Asignada",IF(B151="Batería",IF(J151="","Sin revisar",IF(J151&lt;Resumen!$C$3,"Cargar","Preparada")),IF(B151="Tarjeta",IF(OR(G151="",K151=""),"Sin revisar",IF(L151="No","Pendiente de descarga",IF(M151="No","Pendiente de borrado",IF(Q151&lt;Resumen!$C$4,"Liberar espacio","Preparada")))),"Revisar tipo")))))</f>
        <v/>
      </c>
      <c r="S151" s="25">
        <f>IF(A151="","",IF(I151&lt;&gt;"Activo","Soporte no disponible",IF(O151="Sí","Asignado a "&amp;P151,IF(R151="Preparada","",IF(R151="Cargar","Recargar antes de asignar",IF(R151="Pendiente de descarga","Comprobar la descarga antes de borrar",IF(R151="Pendiente de borrado","Borrar después de verificar la descarga",IF(R151="Liberar espacio","Espacio libre inferior al mínimo","Completar la revisión"))))))))</f>
        <v/>
      </c>
      <c r="T151" s="26" t="n"/>
    </row>
  </sheetData>
  <conditionalFormatting sqref="A2:T151">
    <cfRule type="expression" priority="1" dxfId="3">
      <formula>$R2="Preparada"</formula>
    </cfRule>
    <cfRule type="expression" priority="2" dxfId="2">
      <formula>$R2="Cargar"</formula>
    </cfRule>
    <cfRule type="expression" priority="3" dxfId="4">
      <formula>OR($R2="Pendiente de descarga",$R2="Pendiente de borrado",$R2="Liberar espacio")</formula>
    </cfRule>
    <cfRule type="expression" priority="4" dxfId="5">
      <formula>$R2="Asignada"</formula>
    </cfRule>
    <cfRule type="expression" priority="5" dxfId="6">
      <formula>$I2="Retirado"</formula>
    </cfRule>
  </conditionalFormatting>
  <conditionalFormatting sqref="N2:N151">
    <cfRule type="expression" priority="6" dxfId="2">
      <formula>AND($A2&lt;&gt;"",$N2="")</formula>
    </cfRule>
  </conditionalFormatting>
  <conditionalFormatting sqref="A2:A151">
    <cfRule type="expression" priority="7" dxfId="1">
      <formula>AND($A2&lt;&gt;"",COUNTIF($A$2:$A$151,$A2)&gt;1)</formula>
    </cfRule>
  </conditionalFormatting>
  <dataValidations count="9">
    <dataValidation sqref="B2:B151" showDropDown="0" showInputMessage="1" showErrorMessage="1" allowBlank="0" errorTitle="Valor no válido" error="Seleccione Batería o Tarjeta." promptTitle="Entrada" prompt="Seleccione o introduzca un valor válido." type="list">
      <formula1>='Instrucciones'!$H$4:$H$5</formula1>
    </dataValidation>
    <dataValidation sqref="I2:I151" showDropDown="0" showInputMessage="1" showErrorMessage="1" allowBlank="0" errorTitle="Valor no válido" error="Seleccione un estado válido." promptTitle="Entrada" prompt="Seleccione o introduzca un valor válido." type="list">
      <formula1>='Instrucciones'!$I$4:$I$6</formula1>
    </dataValidation>
    <dataValidation sqref="L2:L151" showDropDown="0" showInputMessage="1" showErrorMessage="1" allowBlank="0" errorTitle="Valor no válido" error="Seleccione Sí, No o No procede." promptTitle="Entrada" prompt="Seleccione o introduzca un valor válido." type="list">
      <formula1>='Instrucciones'!$L$4:$L$6</formula1>
    </dataValidation>
    <dataValidation sqref="M2:M151" showDropDown="0" showInputMessage="1" showErrorMessage="1" allowBlank="0" errorTitle="Valor no válido" error="Seleccione Sí, No o No procede." promptTitle="Entrada" prompt="Seleccione o introduzca un valor válido." type="list">
      <formula1>='Instrucciones'!$L$4:$L$6</formula1>
    </dataValidation>
    <dataValidation sqref="F2:F151" showDropDown="0" showInputMessage="1" showErrorMessage="1" allowBlank="0" errorTitle="Valor no válido" error="Este campo no corresponde al tipo de soporte seleccionado." promptTitle="Entrada" prompt="Seleccione o introduzca un valor válido." type="custom">
      <formula1>=OR($A2="",$F2="",AND($B2="Batería",ISNUMBER($F2),$F2&gt;=100,$F2&lt;=50000))</formula1>
    </dataValidation>
    <dataValidation sqref="G2:G151" showDropDown="0" showInputMessage="1" showErrorMessage="1" allowBlank="0" errorTitle="Valor no válido" error="Este campo no corresponde al tipo de soporte seleccionado." promptTitle="Entrada" prompt="Seleccione o introduzca un valor válido." type="custom">
      <formula1>=OR($A2="",$G2="",AND($B2="Tarjeta",ISNUMBER($G2),$G2&gt;=1,$G2&lt;=10000))</formula1>
    </dataValidation>
    <dataValidation sqref="J2:J151" showDropDown="0" showInputMessage="1" showErrorMessage="1" allowBlank="0" errorTitle="Valor no válido" error="Este campo no corresponde al tipo de soporte seleccionado." promptTitle="Entrada" prompt="Seleccione o introduzca un valor válido." type="custom">
      <formula1>=OR($A2="",$J2="",AND($B2="Batería",ISNUMBER($J2),$J2&gt;=0,$J2&lt;=100))</formula1>
    </dataValidation>
    <dataValidation sqref="K2:K151" showDropDown="0" showInputMessage="1" showErrorMessage="1" allowBlank="0" errorTitle="Valor no válido" error="Este campo no corresponde al tipo de soporte seleccionado." promptTitle="Entrada" prompt="Seleccione o introduzca un valor válido." type="custom">
      <formula1>=OR($A2="",$K2="",AND($B2="Tarjeta",ISNUMBER($K2),$K2&gt;=0,$K2&lt;=10000))</formula1>
    </dataValidation>
    <dataValidation sqref="N2:N151" showDropDown="0" showInputMessage="1" showErrorMessage="1" allowBlank="0" errorTitle="Valor no válido" error="Introduzca una fecha entre 01/01/2020 y 31/12/2100." promptTitle="Entrada" prompt="Seleccione o introduzca un valor válido." type="date">
      <formula1>DATE(2020,1,1)</formula1>
      <formula2>DATE(2100,12,31)</formula2>
    </dataValidation>
  </dataValidation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01"/>
  <sheetViews>
    <sheetView showGridLines="0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4" customWidth="1" min="2" max="2"/>
    <col width="27" customWidth="1" min="3" max="3"/>
    <col width="14" customWidth="1" min="4" max="4"/>
    <col width="18" customWidth="1" min="5" max="5"/>
    <col width="21" customWidth="1" min="6" max="6"/>
    <col width="18" customWidth="1" min="7" max="7"/>
    <col width="16" customWidth="1" min="8" max="8"/>
    <col width="18" customWidth="1" min="9" max="9"/>
    <col width="18" customWidth="1" min="10" max="10"/>
    <col width="17" customWidth="1" min="11" max="11"/>
    <col width="16" customWidth="1" min="12" max="12"/>
    <col width="31" customWidth="1" min="13" max="13"/>
    <col width="34" customWidth="1" min="14" max="14"/>
  </cols>
  <sheetData>
    <row r="1" ht="34" customHeight="1">
      <c r="A1" s="19" t="inlineStr">
        <is>
          <t>ID de sesión</t>
        </is>
      </c>
      <c r="B1" s="19" t="inlineStr">
        <is>
          <t>Sesión</t>
        </is>
      </c>
      <c r="C1" s="19" t="inlineStr">
        <is>
          <t>Empresa o proyecto</t>
        </is>
      </c>
      <c r="D1" s="19" t="inlineStr">
        <is>
          <t>Fecha</t>
        </is>
      </c>
      <c r="E1" s="19" t="inlineStr">
        <is>
          <t>Tipo de trabajo</t>
        </is>
      </c>
      <c r="F1" s="19" t="inlineStr">
        <is>
          <t>Equipo principal</t>
        </is>
      </c>
      <c r="G1" s="19" t="inlineStr">
        <is>
          <t>Responsable</t>
        </is>
      </c>
      <c r="H1" s="19" t="inlineStr">
        <is>
          <t>Estado</t>
        </is>
      </c>
      <c r="I1" s="19" t="inlineStr">
        <is>
          <t>Baterías asignadas</t>
        </is>
      </c>
      <c r="J1" s="19" t="inlineStr">
        <is>
          <t>Tarjetas asignadas</t>
        </is>
      </c>
      <c r="K1" s="19" t="inlineStr">
        <is>
          <t>Controles abiertos</t>
        </is>
      </c>
      <c r="L1" s="19" t="inlineStr">
        <is>
          <t>GB registrados</t>
        </is>
      </c>
      <c r="M1" s="19" t="inlineStr">
        <is>
          <t>Alerta</t>
        </is>
      </c>
      <c r="N1" s="19" t="inlineStr">
        <is>
          <t>Observaciones</t>
        </is>
      </c>
    </row>
    <row r="2" ht="22" customHeight="1">
      <c r="A2" s="20" t="inlineStr">
        <is>
          <t>SES-260901</t>
        </is>
      </c>
      <c r="B2" s="20" t="inlineStr">
        <is>
          <t>Retratos Bruma</t>
        </is>
      </c>
      <c r="C2" s="20" t="inlineStr">
        <is>
          <t>Estudio Nube Clara</t>
        </is>
      </c>
      <c r="D2" s="22" t="n">
        <v>46266</v>
      </c>
      <c r="E2" s="20" t="inlineStr">
        <is>
          <t>Fotografía</t>
        </is>
      </c>
      <c r="F2" s="20" t="inlineStr">
        <is>
          <t>Cámara Alfa</t>
        </is>
      </c>
      <c r="G2" s="20" t="inlineStr">
        <is>
          <t>Equipo A</t>
        </is>
      </c>
      <c r="H2" s="20" t="inlineStr">
        <is>
          <t>Cerrada</t>
        </is>
      </c>
      <c r="I2" s="23">
        <f>IF(A2="","",COUNTIFS(tblControl[ID de sesión],A2,tblControl[Tipo],"Batería"))</f>
        <v/>
      </c>
      <c r="J2" s="23">
        <f>IF(A2="","",COUNTIFS(tblControl[ID de sesión],A2,tblControl[Tipo],"Tarjeta"))</f>
        <v/>
      </c>
      <c r="K2" s="23">
        <f>IF(A2="","",COUNTIFS(tblControl[ID de sesión],A2,tblControl[Estado del control],"Abierto"))</f>
        <v/>
      </c>
      <c r="L2" s="27">
        <f>IF(A2="","",SUMIFS(tblControl[GB usados],tblControl[ID de sesión],A2))</f>
        <v/>
      </c>
      <c r="M2" s="25">
        <f>IF(A2="","",IF(AND(D2&lt;Resumen!$C$6,H2&lt;&gt;"Cerrada",H2&lt;&gt;"Cancelada"),"Sesión pasada sin cerrar",IF(AND(D2&gt;=Resumen!$C$6,D2&lt;=Resumen!$C$6+Resumen!$C$5,H2&lt;&gt;"Cerrada",OR(I2=0,J2=0)),"Revisar asignación",IF(AND(H2="Cerrada",K2&gt;0),"Hay soportes sin devolver",""))))</f>
        <v/>
      </c>
      <c r="N2" s="26" t="inlineStr">
        <is>
          <t>Sesión completada</t>
        </is>
      </c>
    </row>
    <row r="3" ht="22" customHeight="1">
      <c r="A3" s="20" t="inlineStr">
        <is>
          <t>SES-260905</t>
        </is>
      </c>
      <c r="B3" s="20" t="inlineStr">
        <is>
          <t>Producto Órbita</t>
        </is>
      </c>
      <c r="C3" s="20" t="inlineStr">
        <is>
          <t>Taller Prisma Ficticio</t>
        </is>
      </c>
      <c r="D3" s="22" t="n">
        <v>46270</v>
      </c>
      <c r="E3" s="20" t="inlineStr">
        <is>
          <t>Híbrido</t>
        </is>
      </c>
      <c r="F3" s="20" t="inlineStr">
        <is>
          <t>Cámara Beta</t>
        </is>
      </c>
      <c r="G3" s="20" t="inlineStr">
        <is>
          <t>Equipo B</t>
        </is>
      </c>
      <c r="H3" s="20" t="inlineStr">
        <is>
          <t>Finalizada</t>
        </is>
      </c>
      <c r="I3" s="23">
        <f>IF(A3="","",COUNTIFS(tblControl[ID de sesión],A3,tblControl[Tipo],"Batería"))</f>
        <v/>
      </c>
      <c r="J3" s="23">
        <f>IF(A3="","",COUNTIFS(tblControl[ID de sesión],A3,tblControl[Tipo],"Tarjeta"))</f>
        <v/>
      </c>
      <c r="K3" s="23">
        <f>IF(A3="","",COUNTIFS(tblControl[ID de sesión],A3,tblControl[Estado del control],"Abierto"))</f>
        <v/>
      </c>
      <c r="L3" s="27">
        <f>IF(A3="","",SUMIFS(tblControl[GB usados],tblControl[ID de sesión],A3))</f>
        <v/>
      </c>
      <c r="M3" s="25">
        <f>IF(A3="","",IF(AND(D3&lt;Resumen!$C$6,H3&lt;&gt;"Cerrada",H3&lt;&gt;"Cancelada"),"Sesión pasada sin cerrar",IF(AND(D3&gt;=Resumen!$C$6,D3&lt;=Resumen!$C$6+Resumen!$C$5,H3&lt;&gt;"Cerrada",OR(I3=0,J3=0)),"Revisar asignación",IF(AND(H3="Cerrada",K3&gt;0),"Hay soportes sin devolver",""))))</f>
        <v/>
      </c>
      <c r="N3" s="26" t="inlineStr">
        <is>
          <t>Pendiente de cerrar</t>
        </is>
      </c>
    </row>
    <row r="4" ht="22" customHeight="1">
      <c r="A4" s="20" t="inlineStr">
        <is>
          <t>SES-260909</t>
        </is>
      </c>
      <c r="B4" s="20" t="inlineStr">
        <is>
          <t>Rodaje Horizonte</t>
        </is>
      </c>
      <c r="C4" s="20" t="inlineStr">
        <is>
          <t>Producciones Faro Azul</t>
        </is>
      </c>
      <c r="D4" s="22" t="n">
        <v>46274</v>
      </c>
      <c r="E4" s="20" t="inlineStr">
        <is>
          <t>Vídeo</t>
        </is>
      </c>
      <c r="F4" s="20" t="inlineStr">
        <is>
          <t>Cámara Gamma</t>
        </is>
      </c>
      <c r="G4" s="20" t="inlineStr">
        <is>
          <t>Equipo A</t>
        </is>
      </c>
      <c r="H4" s="20" t="inlineStr">
        <is>
          <t>Planificada</t>
        </is>
      </c>
      <c r="I4" s="23">
        <f>IF(A4="","",COUNTIFS(tblControl[ID de sesión],A4,tblControl[Tipo],"Batería"))</f>
        <v/>
      </c>
      <c r="J4" s="23">
        <f>IF(A4="","",COUNTIFS(tblControl[ID de sesión],A4,tblControl[Tipo],"Tarjeta"))</f>
        <v/>
      </c>
      <c r="K4" s="23">
        <f>IF(A4="","",COUNTIFS(tblControl[ID de sesión],A4,tblControl[Estado del control],"Abierto"))</f>
        <v/>
      </c>
      <c r="L4" s="27">
        <f>IF(A4="","",SUMIFS(tblControl[GB usados],tblControl[ID de sesión],A4))</f>
        <v/>
      </c>
      <c r="M4" s="25">
        <f>IF(A4="","",IF(AND(D4&lt;Resumen!$C$6,H4&lt;&gt;"Cerrada",H4&lt;&gt;"Cancelada"),"Sesión pasada sin cerrar",IF(AND(D4&gt;=Resumen!$C$6,D4&lt;=Resumen!$C$6+Resumen!$C$5,H4&lt;&gt;"Cerrada",OR(I4=0,J4=0)),"Revisar asignación",IF(AND(H4="Cerrada",K4&gt;0),"Hay soportes sin devolver",""))))</f>
        <v/>
      </c>
      <c r="N4" s="26" t="inlineStr"/>
    </row>
    <row r="5" ht="22" customHeight="1">
      <c r="A5" s="20" t="inlineStr">
        <is>
          <t>SES-260910</t>
        </is>
      </c>
      <c r="B5" s="20" t="inlineStr">
        <is>
          <t>Ensayo Lumen</t>
        </is>
      </c>
      <c r="C5" s="20" t="inlineStr">
        <is>
          <t>Proyecto Lumen Norte</t>
        </is>
      </c>
      <c r="D5" s="22" t="n">
        <v>46275</v>
      </c>
      <c r="E5" s="20" t="inlineStr">
        <is>
          <t>Prueba técnica</t>
        </is>
      </c>
      <c r="F5" s="20" t="inlineStr">
        <is>
          <t>Cámara Delta</t>
        </is>
      </c>
      <c r="G5" s="20" t="inlineStr">
        <is>
          <t>Equipo técnico</t>
        </is>
      </c>
      <c r="H5" s="20" t="inlineStr">
        <is>
          <t>Planificada</t>
        </is>
      </c>
      <c r="I5" s="23">
        <f>IF(A5="","",COUNTIFS(tblControl[ID de sesión],A5,tblControl[Tipo],"Batería"))</f>
        <v/>
      </c>
      <c r="J5" s="23">
        <f>IF(A5="","",COUNTIFS(tblControl[ID de sesión],A5,tblControl[Tipo],"Tarjeta"))</f>
        <v/>
      </c>
      <c r="K5" s="23">
        <f>IF(A5="","",COUNTIFS(tblControl[ID de sesión],A5,tblControl[Estado del control],"Abierto"))</f>
        <v/>
      </c>
      <c r="L5" s="27">
        <f>IF(A5="","",SUMIFS(tblControl[GB usados],tblControl[ID de sesión],A5))</f>
        <v/>
      </c>
      <c r="M5" s="25">
        <f>IF(A5="","",IF(AND(D5&lt;Resumen!$C$6,H5&lt;&gt;"Cerrada",H5&lt;&gt;"Cancelada"),"Sesión pasada sin cerrar",IF(AND(D5&gt;=Resumen!$C$6,D5&lt;=Resumen!$C$6+Resumen!$C$5,H5&lt;&gt;"Cerrada",OR(I5=0,J5=0)),"Revisar asignación",IF(AND(H5="Cerrada",K5&gt;0),"Hay soportes sin devolver",""))))</f>
        <v/>
      </c>
      <c r="N5" s="26" t="inlineStr"/>
    </row>
    <row r="6" ht="22" customHeight="1">
      <c r="A6" s="20" t="inlineStr">
        <is>
          <t>SES-260914</t>
        </is>
      </c>
      <c r="B6" s="20" t="inlineStr">
        <is>
          <t>Editorial Neblina</t>
        </is>
      </c>
      <c r="C6" s="20" t="inlineStr">
        <is>
          <t>Archivo Violeta Ficticio</t>
        </is>
      </c>
      <c r="D6" s="22" t="n">
        <v>46279</v>
      </c>
      <c r="E6" s="20" t="inlineStr">
        <is>
          <t>Fotografía</t>
        </is>
      </c>
      <c r="F6" s="20" t="inlineStr">
        <is>
          <t>Cámara Épsilon</t>
        </is>
      </c>
      <c r="G6" s="20" t="inlineStr">
        <is>
          <t>Equipo C</t>
        </is>
      </c>
      <c r="H6" s="20" t="inlineStr">
        <is>
          <t>Planificada</t>
        </is>
      </c>
      <c r="I6" s="23">
        <f>IF(A6="","",COUNTIFS(tblControl[ID de sesión],A6,tblControl[Tipo],"Batería"))</f>
        <v/>
      </c>
      <c r="J6" s="23">
        <f>IF(A6="","",COUNTIFS(tblControl[ID de sesión],A6,tblControl[Tipo],"Tarjeta"))</f>
        <v/>
      </c>
      <c r="K6" s="23">
        <f>IF(A6="","",COUNTIFS(tblControl[ID de sesión],A6,tblControl[Estado del control],"Abierto"))</f>
        <v/>
      </c>
      <c r="L6" s="27">
        <f>IF(A6="","",SUMIFS(tblControl[GB usados],tblControl[ID de sesión],A6))</f>
        <v/>
      </c>
      <c r="M6" s="25">
        <f>IF(A6="","",IF(AND(D6&lt;Resumen!$C$6,H6&lt;&gt;"Cerrada",H6&lt;&gt;"Cancelada"),"Sesión pasada sin cerrar",IF(AND(D6&gt;=Resumen!$C$6,D6&lt;=Resumen!$C$6+Resumen!$C$5,H6&lt;&gt;"Cerrada",OR(I6=0,J6=0)),"Revisar asignación",IF(AND(H6="Cerrada",K6&gt;0),"Hay soportes sin devolver",""))))</f>
        <v/>
      </c>
      <c r="N6" s="26" t="inlineStr">
        <is>
          <t>Prueba de iluminación</t>
        </is>
      </c>
    </row>
    <row r="7" ht="22" customHeight="1">
      <c r="A7" s="20" t="inlineStr">
        <is>
          <t>SES-260918</t>
        </is>
      </c>
      <c r="B7" s="20" t="inlineStr">
        <is>
          <t>Pieza Cenit</t>
        </is>
      </c>
      <c r="C7" s="20" t="inlineStr">
        <is>
          <t>Colectivo Cenit Imaginario</t>
        </is>
      </c>
      <c r="D7" s="22" t="n">
        <v>46283</v>
      </c>
      <c r="E7" s="20" t="inlineStr">
        <is>
          <t>Vídeo</t>
        </is>
      </c>
      <c r="F7" s="20" t="inlineStr">
        <is>
          <t>Cámara Gamma</t>
        </is>
      </c>
      <c r="G7" s="20" t="inlineStr">
        <is>
          <t>Equipo B</t>
        </is>
      </c>
      <c r="H7" s="20" t="inlineStr">
        <is>
          <t>Planificada</t>
        </is>
      </c>
      <c r="I7" s="23">
        <f>IF(A7="","",COUNTIFS(tblControl[ID de sesión],A7,tblControl[Tipo],"Batería"))</f>
        <v/>
      </c>
      <c r="J7" s="23">
        <f>IF(A7="","",COUNTIFS(tblControl[ID de sesión],A7,tblControl[Tipo],"Tarjeta"))</f>
        <v/>
      </c>
      <c r="K7" s="23">
        <f>IF(A7="","",COUNTIFS(tblControl[ID de sesión],A7,tblControl[Estado del control],"Abierto"))</f>
        <v/>
      </c>
      <c r="L7" s="27">
        <f>IF(A7="","",SUMIFS(tblControl[GB usados],tblControl[ID de sesión],A7))</f>
        <v/>
      </c>
      <c r="M7" s="25">
        <f>IF(A7="","",IF(AND(D7&lt;Resumen!$C$6,H7&lt;&gt;"Cerrada",H7&lt;&gt;"Cancelada"),"Sesión pasada sin cerrar",IF(AND(D7&gt;=Resumen!$C$6,D7&lt;=Resumen!$C$6+Resumen!$C$5,H7&lt;&gt;"Cerrada",OR(I7=0,J7=0)),"Revisar asignación",IF(AND(H7="Cerrada",K7&gt;0),"Hay soportes sin devolver",""))))</f>
        <v/>
      </c>
      <c r="N7" s="26" t="inlineStr"/>
    </row>
    <row r="8" ht="22" customHeight="1">
      <c r="A8" s="20" t="inlineStr">
        <is>
          <t>SES-260922</t>
        </is>
      </c>
      <c r="B8" s="20" t="inlineStr">
        <is>
          <t>Prueba Aurora</t>
        </is>
      </c>
      <c r="C8" s="20" t="inlineStr">
        <is>
          <t>Laboratorio Aurora Ficticio</t>
        </is>
      </c>
      <c r="D8" s="22" t="n">
        <v>46287</v>
      </c>
      <c r="E8" s="20" t="inlineStr">
        <is>
          <t>Prueba técnica</t>
        </is>
      </c>
      <c r="F8" s="20" t="inlineStr">
        <is>
          <t>Cámara Delta</t>
        </is>
      </c>
      <c r="G8" s="20" t="inlineStr">
        <is>
          <t>Equipo técnico</t>
        </is>
      </c>
      <c r="H8" s="20" t="inlineStr">
        <is>
          <t>Planificada</t>
        </is>
      </c>
      <c r="I8" s="23">
        <f>IF(A8="","",COUNTIFS(tblControl[ID de sesión],A8,tblControl[Tipo],"Batería"))</f>
        <v/>
      </c>
      <c r="J8" s="23">
        <f>IF(A8="","",COUNTIFS(tblControl[ID de sesión],A8,tblControl[Tipo],"Tarjeta"))</f>
        <v/>
      </c>
      <c r="K8" s="23">
        <f>IF(A8="","",COUNTIFS(tblControl[ID de sesión],A8,tblControl[Estado del control],"Abierto"))</f>
        <v/>
      </c>
      <c r="L8" s="27">
        <f>IF(A8="","",SUMIFS(tblControl[GB usados],tblControl[ID de sesión],A8))</f>
        <v/>
      </c>
      <c r="M8" s="25">
        <f>IF(A8="","",IF(AND(D8&lt;Resumen!$C$6,H8&lt;&gt;"Cerrada",H8&lt;&gt;"Cancelada"),"Sesión pasada sin cerrar",IF(AND(D8&gt;=Resumen!$C$6,D8&lt;=Resumen!$C$6+Resumen!$C$5,H8&lt;&gt;"Cerrada",OR(I8=0,J8=0)),"Revisar asignación",IF(AND(H8="Cerrada",K8&gt;0),"Hay soportes sin devolver",""))))</f>
        <v/>
      </c>
      <c r="N8" s="26" t="inlineStr">
        <is>
          <t>Comprobar soportes</t>
        </is>
      </c>
    </row>
    <row r="9" ht="22" customHeight="1">
      <c r="A9" s="20" t="inlineStr">
        <is>
          <t>SES-260928</t>
        </is>
      </c>
      <c r="B9" s="20" t="inlineStr">
        <is>
          <t>Campaña Espejo</t>
        </is>
      </c>
      <c r="C9" s="20" t="inlineStr">
        <is>
          <t>Proyecto Espejo Sur</t>
        </is>
      </c>
      <c r="D9" s="22" t="n">
        <v>46293</v>
      </c>
      <c r="E9" s="20" t="inlineStr">
        <is>
          <t>Híbrido</t>
        </is>
      </c>
      <c r="F9" s="20" t="inlineStr">
        <is>
          <t>Cámara Beta</t>
        </is>
      </c>
      <c r="G9" s="20" t="inlineStr">
        <is>
          <t>Equipo C</t>
        </is>
      </c>
      <c r="H9" s="20" t="inlineStr">
        <is>
          <t>Planificada</t>
        </is>
      </c>
      <c r="I9" s="23">
        <f>IF(A9="","",COUNTIFS(tblControl[ID de sesión],A9,tblControl[Tipo],"Batería"))</f>
        <v/>
      </c>
      <c r="J9" s="23">
        <f>IF(A9="","",COUNTIFS(tblControl[ID de sesión],A9,tblControl[Tipo],"Tarjeta"))</f>
        <v/>
      </c>
      <c r="K9" s="23">
        <f>IF(A9="","",COUNTIFS(tblControl[ID de sesión],A9,tblControl[Estado del control],"Abierto"))</f>
        <v/>
      </c>
      <c r="L9" s="27">
        <f>IF(A9="","",SUMIFS(tblControl[GB usados],tblControl[ID de sesión],A9))</f>
        <v/>
      </c>
      <c r="M9" s="25">
        <f>IF(A9="","",IF(AND(D9&lt;Resumen!$C$6,H9&lt;&gt;"Cerrada",H9&lt;&gt;"Cancelada"),"Sesión pasada sin cerrar",IF(AND(D9&gt;=Resumen!$C$6,D9&lt;=Resumen!$C$6+Resumen!$C$5,H9&lt;&gt;"Cerrada",OR(I9=0,J9=0)),"Revisar asignación",IF(AND(H9="Cerrada",K9&gt;0),"Hay soportes sin devolver",""))))</f>
        <v/>
      </c>
      <c r="N9" s="26" t="inlineStr"/>
    </row>
    <row r="10" ht="22" customHeight="1">
      <c r="A10" s="20" t="n"/>
      <c r="B10" s="20" t="n"/>
      <c r="C10" s="20" t="n"/>
      <c r="D10" s="22" t="n"/>
      <c r="E10" s="20" t="n"/>
      <c r="F10" s="20" t="n"/>
      <c r="G10" s="20" t="n"/>
      <c r="H10" s="20" t="n"/>
      <c r="I10" s="23">
        <f>IF(A10="","",COUNTIFS(tblControl[ID de sesión],A10,tblControl[Tipo],"Batería"))</f>
        <v/>
      </c>
      <c r="J10" s="23">
        <f>IF(A10="","",COUNTIFS(tblControl[ID de sesión],A10,tblControl[Tipo],"Tarjeta"))</f>
        <v/>
      </c>
      <c r="K10" s="23">
        <f>IF(A10="","",COUNTIFS(tblControl[ID de sesión],A10,tblControl[Estado del control],"Abierto"))</f>
        <v/>
      </c>
      <c r="L10" s="27">
        <f>IF(A10="","",SUMIFS(tblControl[GB usados],tblControl[ID de sesión],A10))</f>
        <v/>
      </c>
      <c r="M10" s="25">
        <f>IF(A10="","",IF(AND(D10&lt;Resumen!$C$6,H10&lt;&gt;"Cerrada",H10&lt;&gt;"Cancelada"),"Sesión pasada sin cerrar",IF(AND(D10&gt;=Resumen!$C$6,D10&lt;=Resumen!$C$6+Resumen!$C$5,H10&lt;&gt;"Cerrada",OR(I10=0,J10=0)),"Revisar asignación",IF(AND(H10="Cerrada",K10&gt;0),"Hay soportes sin devolver",""))))</f>
        <v/>
      </c>
      <c r="N10" s="26" t="n"/>
    </row>
    <row r="11" ht="22" customHeight="1">
      <c r="A11" s="20" t="n"/>
      <c r="B11" s="20" t="n"/>
      <c r="C11" s="20" t="n"/>
      <c r="D11" s="22" t="n"/>
      <c r="E11" s="20" t="n"/>
      <c r="F11" s="20" t="n"/>
      <c r="G11" s="20" t="n"/>
      <c r="H11" s="20" t="n"/>
      <c r="I11" s="23">
        <f>IF(A11="","",COUNTIFS(tblControl[ID de sesión],A11,tblControl[Tipo],"Batería"))</f>
        <v/>
      </c>
      <c r="J11" s="23">
        <f>IF(A11="","",COUNTIFS(tblControl[ID de sesión],A11,tblControl[Tipo],"Tarjeta"))</f>
        <v/>
      </c>
      <c r="K11" s="23">
        <f>IF(A11="","",COUNTIFS(tblControl[ID de sesión],A11,tblControl[Estado del control],"Abierto"))</f>
        <v/>
      </c>
      <c r="L11" s="27">
        <f>IF(A11="","",SUMIFS(tblControl[GB usados],tblControl[ID de sesión],A11))</f>
        <v/>
      </c>
      <c r="M11" s="25">
        <f>IF(A11="","",IF(AND(D11&lt;Resumen!$C$6,H11&lt;&gt;"Cerrada",H11&lt;&gt;"Cancelada"),"Sesión pasada sin cerrar",IF(AND(D11&gt;=Resumen!$C$6,D11&lt;=Resumen!$C$6+Resumen!$C$5,H11&lt;&gt;"Cerrada",OR(I11=0,J11=0)),"Revisar asignación",IF(AND(H11="Cerrada",K11&gt;0),"Hay soportes sin devolver",""))))</f>
        <v/>
      </c>
      <c r="N11" s="26" t="n"/>
    </row>
    <row r="12" ht="22" customHeight="1">
      <c r="A12" s="20" t="n"/>
      <c r="B12" s="20" t="n"/>
      <c r="C12" s="20" t="n"/>
      <c r="D12" s="22" t="n"/>
      <c r="E12" s="20" t="n"/>
      <c r="F12" s="20" t="n"/>
      <c r="G12" s="20" t="n"/>
      <c r="H12" s="20" t="n"/>
      <c r="I12" s="23">
        <f>IF(A12="","",COUNTIFS(tblControl[ID de sesión],A12,tblControl[Tipo],"Batería"))</f>
        <v/>
      </c>
      <c r="J12" s="23">
        <f>IF(A12="","",COUNTIFS(tblControl[ID de sesión],A12,tblControl[Tipo],"Tarjeta"))</f>
        <v/>
      </c>
      <c r="K12" s="23">
        <f>IF(A12="","",COUNTIFS(tblControl[ID de sesión],A12,tblControl[Estado del control],"Abierto"))</f>
        <v/>
      </c>
      <c r="L12" s="27">
        <f>IF(A12="","",SUMIFS(tblControl[GB usados],tblControl[ID de sesión],A12))</f>
        <v/>
      </c>
      <c r="M12" s="25">
        <f>IF(A12="","",IF(AND(D12&lt;Resumen!$C$6,H12&lt;&gt;"Cerrada",H12&lt;&gt;"Cancelada"),"Sesión pasada sin cerrar",IF(AND(D12&gt;=Resumen!$C$6,D12&lt;=Resumen!$C$6+Resumen!$C$5,H12&lt;&gt;"Cerrada",OR(I12=0,J12=0)),"Revisar asignación",IF(AND(H12="Cerrada",K12&gt;0),"Hay soportes sin devolver",""))))</f>
        <v/>
      </c>
      <c r="N12" s="26" t="n"/>
    </row>
    <row r="13" ht="22" customHeight="1">
      <c r="A13" s="20" t="n"/>
      <c r="B13" s="20" t="n"/>
      <c r="C13" s="20" t="n"/>
      <c r="D13" s="22" t="n"/>
      <c r="E13" s="20" t="n"/>
      <c r="F13" s="20" t="n"/>
      <c r="G13" s="20" t="n"/>
      <c r="H13" s="20" t="n"/>
      <c r="I13" s="23">
        <f>IF(A13="","",COUNTIFS(tblControl[ID de sesión],A13,tblControl[Tipo],"Batería"))</f>
        <v/>
      </c>
      <c r="J13" s="23">
        <f>IF(A13="","",COUNTIFS(tblControl[ID de sesión],A13,tblControl[Tipo],"Tarjeta"))</f>
        <v/>
      </c>
      <c r="K13" s="23">
        <f>IF(A13="","",COUNTIFS(tblControl[ID de sesión],A13,tblControl[Estado del control],"Abierto"))</f>
        <v/>
      </c>
      <c r="L13" s="27">
        <f>IF(A13="","",SUMIFS(tblControl[GB usados],tblControl[ID de sesión],A13))</f>
        <v/>
      </c>
      <c r="M13" s="25">
        <f>IF(A13="","",IF(AND(D13&lt;Resumen!$C$6,H13&lt;&gt;"Cerrada",H13&lt;&gt;"Cancelada"),"Sesión pasada sin cerrar",IF(AND(D13&gt;=Resumen!$C$6,D13&lt;=Resumen!$C$6+Resumen!$C$5,H13&lt;&gt;"Cerrada",OR(I13=0,J13=0)),"Revisar asignación",IF(AND(H13="Cerrada",K13&gt;0),"Hay soportes sin devolver",""))))</f>
        <v/>
      </c>
      <c r="N13" s="26" t="n"/>
    </row>
    <row r="14" ht="22" customHeight="1">
      <c r="A14" s="20" t="n"/>
      <c r="B14" s="20" t="n"/>
      <c r="C14" s="20" t="n"/>
      <c r="D14" s="22" t="n"/>
      <c r="E14" s="20" t="n"/>
      <c r="F14" s="20" t="n"/>
      <c r="G14" s="20" t="n"/>
      <c r="H14" s="20" t="n"/>
      <c r="I14" s="23">
        <f>IF(A14="","",COUNTIFS(tblControl[ID de sesión],A14,tblControl[Tipo],"Batería"))</f>
        <v/>
      </c>
      <c r="J14" s="23">
        <f>IF(A14="","",COUNTIFS(tblControl[ID de sesión],A14,tblControl[Tipo],"Tarjeta"))</f>
        <v/>
      </c>
      <c r="K14" s="23">
        <f>IF(A14="","",COUNTIFS(tblControl[ID de sesión],A14,tblControl[Estado del control],"Abierto"))</f>
        <v/>
      </c>
      <c r="L14" s="27">
        <f>IF(A14="","",SUMIFS(tblControl[GB usados],tblControl[ID de sesión],A14))</f>
        <v/>
      </c>
      <c r="M14" s="25">
        <f>IF(A14="","",IF(AND(D14&lt;Resumen!$C$6,H14&lt;&gt;"Cerrada",H14&lt;&gt;"Cancelada"),"Sesión pasada sin cerrar",IF(AND(D14&gt;=Resumen!$C$6,D14&lt;=Resumen!$C$6+Resumen!$C$5,H14&lt;&gt;"Cerrada",OR(I14=0,J14=0)),"Revisar asignación",IF(AND(H14="Cerrada",K14&gt;0),"Hay soportes sin devolver",""))))</f>
        <v/>
      </c>
      <c r="N14" s="26" t="n"/>
    </row>
    <row r="15" ht="22" customHeight="1">
      <c r="A15" s="20" t="n"/>
      <c r="B15" s="20" t="n"/>
      <c r="C15" s="20" t="n"/>
      <c r="D15" s="22" t="n"/>
      <c r="E15" s="20" t="n"/>
      <c r="F15" s="20" t="n"/>
      <c r="G15" s="20" t="n"/>
      <c r="H15" s="20" t="n"/>
      <c r="I15" s="23">
        <f>IF(A15="","",COUNTIFS(tblControl[ID de sesión],A15,tblControl[Tipo],"Batería"))</f>
        <v/>
      </c>
      <c r="J15" s="23">
        <f>IF(A15="","",COUNTIFS(tblControl[ID de sesión],A15,tblControl[Tipo],"Tarjeta"))</f>
        <v/>
      </c>
      <c r="K15" s="23">
        <f>IF(A15="","",COUNTIFS(tblControl[ID de sesión],A15,tblControl[Estado del control],"Abierto"))</f>
        <v/>
      </c>
      <c r="L15" s="27">
        <f>IF(A15="","",SUMIFS(tblControl[GB usados],tblControl[ID de sesión],A15))</f>
        <v/>
      </c>
      <c r="M15" s="25">
        <f>IF(A15="","",IF(AND(D15&lt;Resumen!$C$6,H15&lt;&gt;"Cerrada",H15&lt;&gt;"Cancelada"),"Sesión pasada sin cerrar",IF(AND(D15&gt;=Resumen!$C$6,D15&lt;=Resumen!$C$6+Resumen!$C$5,H15&lt;&gt;"Cerrada",OR(I15=0,J15=0)),"Revisar asignación",IF(AND(H15="Cerrada",K15&gt;0),"Hay soportes sin devolver",""))))</f>
        <v/>
      </c>
      <c r="N15" s="26" t="n"/>
    </row>
    <row r="16" ht="22" customHeight="1">
      <c r="A16" s="20" t="n"/>
      <c r="B16" s="20" t="n"/>
      <c r="C16" s="20" t="n"/>
      <c r="D16" s="22" t="n"/>
      <c r="E16" s="20" t="n"/>
      <c r="F16" s="20" t="n"/>
      <c r="G16" s="20" t="n"/>
      <c r="H16" s="20" t="n"/>
      <c r="I16" s="23">
        <f>IF(A16="","",COUNTIFS(tblControl[ID de sesión],A16,tblControl[Tipo],"Batería"))</f>
        <v/>
      </c>
      <c r="J16" s="23">
        <f>IF(A16="","",COUNTIFS(tblControl[ID de sesión],A16,tblControl[Tipo],"Tarjeta"))</f>
        <v/>
      </c>
      <c r="K16" s="23">
        <f>IF(A16="","",COUNTIFS(tblControl[ID de sesión],A16,tblControl[Estado del control],"Abierto"))</f>
        <v/>
      </c>
      <c r="L16" s="27">
        <f>IF(A16="","",SUMIFS(tblControl[GB usados],tblControl[ID de sesión],A16))</f>
        <v/>
      </c>
      <c r="M16" s="25">
        <f>IF(A16="","",IF(AND(D16&lt;Resumen!$C$6,H16&lt;&gt;"Cerrada",H16&lt;&gt;"Cancelada"),"Sesión pasada sin cerrar",IF(AND(D16&gt;=Resumen!$C$6,D16&lt;=Resumen!$C$6+Resumen!$C$5,H16&lt;&gt;"Cerrada",OR(I16=0,J16=0)),"Revisar asignación",IF(AND(H16="Cerrada",K16&gt;0),"Hay soportes sin devolver",""))))</f>
        <v/>
      </c>
      <c r="N16" s="26" t="n"/>
    </row>
    <row r="17" ht="22" customHeight="1">
      <c r="A17" s="20" t="n"/>
      <c r="B17" s="20" t="n"/>
      <c r="C17" s="20" t="n"/>
      <c r="D17" s="22" t="n"/>
      <c r="E17" s="20" t="n"/>
      <c r="F17" s="20" t="n"/>
      <c r="G17" s="20" t="n"/>
      <c r="H17" s="20" t="n"/>
      <c r="I17" s="23">
        <f>IF(A17="","",COUNTIFS(tblControl[ID de sesión],A17,tblControl[Tipo],"Batería"))</f>
        <v/>
      </c>
      <c r="J17" s="23">
        <f>IF(A17="","",COUNTIFS(tblControl[ID de sesión],A17,tblControl[Tipo],"Tarjeta"))</f>
        <v/>
      </c>
      <c r="K17" s="23">
        <f>IF(A17="","",COUNTIFS(tblControl[ID de sesión],A17,tblControl[Estado del control],"Abierto"))</f>
        <v/>
      </c>
      <c r="L17" s="27">
        <f>IF(A17="","",SUMIFS(tblControl[GB usados],tblControl[ID de sesión],A17))</f>
        <v/>
      </c>
      <c r="M17" s="25">
        <f>IF(A17="","",IF(AND(D17&lt;Resumen!$C$6,H17&lt;&gt;"Cerrada",H17&lt;&gt;"Cancelada"),"Sesión pasada sin cerrar",IF(AND(D17&gt;=Resumen!$C$6,D17&lt;=Resumen!$C$6+Resumen!$C$5,H17&lt;&gt;"Cerrada",OR(I17=0,J17=0)),"Revisar asignación",IF(AND(H17="Cerrada",K17&gt;0),"Hay soportes sin devolver",""))))</f>
        <v/>
      </c>
      <c r="N17" s="26" t="n"/>
    </row>
    <row r="18" ht="22" customHeight="1">
      <c r="A18" s="20" t="n"/>
      <c r="B18" s="20" t="n"/>
      <c r="C18" s="20" t="n"/>
      <c r="D18" s="22" t="n"/>
      <c r="E18" s="20" t="n"/>
      <c r="F18" s="20" t="n"/>
      <c r="G18" s="20" t="n"/>
      <c r="H18" s="20" t="n"/>
      <c r="I18" s="23">
        <f>IF(A18="","",COUNTIFS(tblControl[ID de sesión],A18,tblControl[Tipo],"Batería"))</f>
        <v/>
      </c>
      <c r="J18" s="23">
        <f>IF(A18="","",COUNTIFS(tblControl[ID de sesión],A18,tblControl[Tipo],"Tarjeta"))</f>
        <v/>
      </c>
      <c r="K18" s="23">
        <f>IF(A18="","",COUNTIFS(tblControl[ID de sesión],A18,tblControl[Estado del control],"Abierto"))</f>
        <v/>
      </c>
      <c r="L18" s="27">
        <f>IF(A18="","",SUMIFS(tblControl[GB usados],tblControl[ID de sesión],A18))</f>
        <v/>
      </c>
      <c r="M18" s="25">
        <f>IF(A18="","",IF(AND(D18&lt;Resumen!$C$6,H18&lt;&gt;"Cerrada",H18&lt;&gt;"Cancelada"),"Sesión pasada sin cerrar",IF(AND(D18&gt;=Resumen!$C$6,D18&lt;=Resumen!$C$6+Resumen!$C$5,H18&lt;&gt;"Cerrada",OR(I18=0,J18=0)),"Revisar asignación",IF(AND(H18="Cerrada",K18&gt;0),"Hay soportes sin devolver",""))))</f>
        <v/>
      </c>
      <c r="N18" s="26" t="n"/>
    </row>
    <row r="19" ht="22" customHeight="1">
      <c r="A19" s="20" t="n"/>
      <c r="B19" s="20" t="n"/>
      <c r="C19" s="20" t="n"/>
      <c r="D19" s="22" t="n"/>
      <c r="E19" s="20" t="n"/>
      <c r="F19" s="20" t="n"/>
      <c r="G19" s="20" t="n"/>
      <c r="H19" s="20" t="n"/>
      <c r="I19" s="23">
        <f>IF(A19="","",COUNTIFS(tblControl[ID de sesión],A19,tblControl[Tipo],"Batería"))</f>
        <v/>
      </c>
      <c r="J19" s="23">
        <f>IF(A19="","",COUNTIFS(tblControl[ID de sesión],A19,tblControl[Tipo],"Tarjeta"))</f>
        <v/>
      </c>
      <c r="K19" s="23">
        <f>IF(A19="","",COUNTIFS(tblControl[ID de sesión],A19,tblControl[Estado del control],"Abierto"))</f>
        <v/>
      </c>
      <c r="L19" s="27">
        <f>IF(A19="","",SUMIFS(tblControl[GB usados],tblControl[ID de sesión],A19))</f>
        <v/>
      </c>
      <c r="M19" s="25">
        <f>IF(A19="","",IF(AND(D19&lt;Resumen!$C$6,H19&lt;&gt;"Cerrada",H19&lt;&gt;"Cancelada"),"Sesión pasada sin cerrar",IF(AND(D19&gt;=Resumen!$C$6,D19&lt;=Resumen!$C$6+Resumen!$C$5,H19&lt;&gt;"Cerrada",OR(I19=0,J19=0)),"Revisar asignación",IF(AND(H19="Cerrada",K19&gt;0),"Hay soportes sin devolver",""))))</f>
        <v/>
      </c>
      <c r="N19" s="26" t="n"/>
    </row>
    <row r="20" ht="22" customHeight="1">
      <c r="A20" s="20" t="n"/>
      <c r="B20" s="20" t="n"/>
      <c r="C20" s="20" t="n"/>
      <c r="D20" s="22" t="n"/>
      <c r="E20" s="20" t="n"/>
      <c r="F20" s="20" t="n"/>
      <c r="G20" s="20" t="n"/>
      <c r="H20" s="20" t="n"/>
      <c r="I20" s="23">
        <f>IF(A20="","",COUNTIFS(tblControl[ID de sesión],A20,tblControl[Tipo],"Batería"))</f>
        <v/>
      </c>
      <c r="J20" s="23">
        <f>IF(A20="","",COUNTIFS(tblControl[ID de sesión],A20,tblControl[Tipo],"Tarjeta"))</f>
        <v/>
      </c>
      <c r="K20" s="23">
        <f>IF(A20="","",COUNTIFS(tblControl[ID de sesión],A20,tblControl[Estado del control],"Abierto"))</f>
        <v/>
      </c>
      <c r="L20" s="27">
        <f>IF(A20="","",SUMIFS(tblControl[GB usados],tblControl[ID de sesión],A20))</f>
        <v/>
      </c>
      <c r="M20" s="25">
        <f>IF(A20="","",IF(AND(D20&lt;Resumen!$C$6,H20&lt;&gt;"Cerrada",H20&lt;&gt;"Cancelada"),"Sesión pasada sin cerrar",IF(AND(D20&gt;=Resumen!$C$6,D20&lt;=Resumen!$C$6+Resumen!$C$5,H20&lt;&gt;"Cerrada",OR(I20=0,J20=0)),"Revisar asignación",IF(AND(H20="Cerrada",K20&gt;0),"Hay soportes sin devolver",""))))</f>
        <v/>
      </c>
      <c r="N20" s="26" t="n"/>
    </row>
    <row r="21" ht="22" customHeight="1">
      <c r="A21" s="20" t="n"/>
      <c r="B21" s="20" t="n"/>
      <c r="C21" s="20" t="n"/>
      <c r="D21" s="22" t="n"/>
      <c r="E21" s="20" t="n"/>
      <c r="F21" s="20" t="n"/>
      <c r="G21" s="20" t="n"/>
      <c r="H21" s="20" t="n"/>
      <c r="I21" s="23">
        <f>IF(A21="","",COUNTIFS(tblControl[ID de sesión],A21,tblControl[Tipo],"Batería"))</f>
        <v/>
      </c>
      <c r="J21" s="23">
        <f>IF(A21="","",COUNTIFS(tblControl[ID de sesión],A21,tblControl[Tipo],"Tarjeta"))</f>
        <v/>
      </c>
      <c r="K21" s="23">
        <f>IF(A21="","",COUNTIFS(tblControl[ID de sesión],A21,tblControl[Estado del control],"Abierto"))</f>
        <v/>
      </c>
      <c r="L21" s="27">
        <f>IF(A21="","",SUMIFS(tblControl[GB usados],tblControl[ID de sesión],A21))</f>
        <v/>
      </c>
      <c r="M21" s="25">
        <f>IF(A21="","",IF(AND(D21&lt;Resumen!$C$6,H21&lt;&gt;"Cerrada",H21&lt;&gt;"Cancelada"),"Sesión pasada sin cerrar",IF(AND(D21&gt;=Resumen!$C$6,D21&lt;=Resumen!$C$6+Resumen!$C$5,H21&lt;&gt;"Cerrada",OR(I21=0,J21=0)),"Revisar asignación",IF(AND(H21="Cerrada",K21&gt;0),"Hay soportes sin devolver",""))))</f>
        <v/>
      </c>
      <c r="N21" s="26" t="n"/>
    </row>
    <row r="22" ht="22" customHeight="1">
      <c r="A22" s="20" t="n"/>
      <c r="B22" s="20" t="n"/>
      <c r="C22" s="20" t="n"/>
      <c r="D22" s="22" t="n"/>
      <c r="E22" s="20" t="n"/>
      <c r="F22" s="20" t="n"/>
      <c r="G22" s="20" t="n"/>
      <c r="H22" s="20" t="n"/>
      <c r="I22" s="23">
        <f>IF(A22="","",COUNTIFS(tblControl[ID de sesión],A22,tblControl[Tipo],"Batería"))</f>
        <v/>
      </c>
      <c r="J22" s="23">
        <f>IF(A22="","",COUNTIFS(tblControl[ID de sesión],A22,tblControl[Tipo],"Tarjeta"))</f>
        <v/>
      </c>
      <c r="K22" s="23">
        <f>IF(A22="","",COUNTIFS(tblControl[ID de sesión],A22,tblControl[Estado del control],"Abierto"))</f>
        <v/>
      </c>
      <c r="L22" s="27">
        <f>IF(A22="","",SUMIFS(tblControl[GB usados],tblControl[ID de sesión],A22))</f>
        <v/>
      </c>
      <c r="M22" s="25">
        <f>IF(A22="","",IF(AND(D22&lt;Resumen!$C$6,H22&lt;&gt;"Cerrada",H22&lt;&gt;"Cancelada"),"Sesión pasada sin cerrar",IF(AND(D22&gt;=Resumen!$C$6,D22&lt;=Resumen!$C$6+Resumen!$C$5,H22&lt;&gt;"Cerrada",OR(I22=0,J22=0)),"Revisar asignación",IF(AND(H22="Cerrada",K22&gt;0),"Hay soportes sin devolver",""))))</f>
        <v/>
      </c>
      <c r="N22" s="26" t="n"/>
    </row>
    <row r="23" ht="22" customHeight="1">
      <c r="A23" s="20" t="n"/>
      <c r="B23" s="20" t="n"/>
      <c r="C23" s="20" t="n"/>
      <c r="D23" s="22" t="n"/>
      <c r="E23" s="20" t="n"/>
      <c r="F23" s="20" t="n"/>
      <c r="G23" s="20" t="n"/>
      <c r="H23" s="20" t="n"/>
      <c r="I23" s="23">
        <f>IF(A23="","",COUNTIFS(tblControl[ID de sesión],A23,tblControl[Tipo],"Batería"))</f>
        <v/>
      </c>
      <c r="J23" s="23">
        <f>IF(A23="","",COUNTIFS(tblControl[ID de sesión],A23,tblControl[Tipo],"Tarjeta"))</f>
        <v/>
      </c>
      <c r="K23" s="23">
        <f>IF(A23="","",COUNTIFS(tblControl[ID de sesión],A23,tblControl[Estado del control],"Abierto"))</f>
        <v/>
      </c>
      <c r="L23" s="27">
        <f>IF(A23="","",SUMIFS(tblControl[GB usados],tblControl[ID de sesión],A23))</f>
        <v/>
      </c>
      <c r="M23" s="25">
        <f>IF(A23="","",IF(AND(D23&lt;Resumen!$C$6,H23&lt;&gt;"Cerrada",H23&lt;&gt;"Cancelada"),"Sesión pasada sin cerrar",IF(AND(D23&gt;=Resumen!$C$6,D23&lt;=Resumen!$C$6+Resumen!$C$5,H23&lt;&gt;"Cerrada",OR(I23=0,J23=0)),"Revisar asignación",IF(AND(H23="Cerrada",K23&gt;0),"Hay soportes sin devolver",""))))</f>
        <v/>
      </c>
      <c r="N23" s="26" t="n"/>
    </row>
    <row r="24" ht="22" customHeight="1">
      <c r="A24" s="20" t="n"/>
      <c r="B24" s="20" t="n"/>
      <c r="C24" s="20" t="n"/>
      <c r="D24" s="22" t="n"/>
      <c r="E24" s="20" t="n"/>
      <c r="F24" s="20" t="n"/>
      <c r="G24" s="20" t="n"/>
      <c r="H24" s="20" t="n"/>
      <c r="I24" s="23">
        <f>IF(A24="","",COUNTIFS(tblControl[ID de sesión],A24,tblControl[Tipo],"Batería"))</f>
        <v/>
      </c>
      <c r="J24" s="23">
        <f>IF(A24="","",COUNTIFS(tblControl[ID de sesión],A24,tblControl[Tipo],"Tarjeta"))</f>
        <v/>
      </c>
      <c r="K24" s="23">
        <f>IF(A24="","",COUNTIFS(tblControl[ID de sesión],A24,tblControl[Estado del control],"Abierto"))</f>
        <v/>
      </c>
      <c r="L24" s="27">
        <f>IF(A24="","",SUMIFS(tblControl[GB usados],tblControl[ID de sesión],A24))</f>
        <v/>
      </c>
      <c r="M24" s="25">
        <f>IF(A24="","",IF(AND(D24&lt;Resumen!$C$6,H24&lt;&gt;"Cerrada",H24&lt;&gt;"Cancelada"),"Sesión pasada sin cerrar",IF(AND(D24&gt;=Resumen!$C$6,D24&lt;=Resumen!$C$6+Resumen!$C$5,H24&lt;&gt;"Cerrada",OR(I24=0,J24=0)),"Revisar asignación",IF(AND(H24="Cerrada",K24&gt;0),"Hay soportes sin devolver",""))))</f>
        <v/>
      </c>
      <c r="N24" s="26" t="n"/>
    </row>
    <row r="25" ht="22" customHeight="1">
      <c r="A25" s="20" t="n"/>
      <c r="B25" s="20" t="n"/>
      <c r="C25" s="20" t="n"/>
      <c r="D25" s="22" t="n"/>
      <c r="E25" s="20" t="n"/>
      <c r="F25" s="20" t="n"/>
      <c r="G25" s="20" t="n"/>
      <c r="H25" s="20" t="n"/>
      <c r="I25" s="23">
        <f>IF(A25="","",COUNTIFS(tblControl[ID de sesión],A25,tblControl[Tipo],"Batería"))</f>
        <v/>
      </c>
      <c r="J25" s="23">
        <f>IF(A25="","",COUNTIFS(tblControl[ID de sesión],A25,tblControl[Tipo],"Tarjeta"))</f>
        <v/>
      </c>
      <c r="K25" s="23">
        <f>IF(A25="","",COUNTIFS(tblControl[ID de sesión],A25,tblControl[Estado del control],"Abierto"))</f>
        <v/>
      </c>
      <c r="L25" s="27">
        <f>IF(A25="","",SUMIFS(tblControl[GB usados],tblControl[ID de sesión],A25))</f>
        <v/>
      </c>
      <c r="M25" s="25">
        <f>IF(A25="","",IF(AND(D25&lt;Resumen!$C$6,H25&lt;&gt;"Cerrada",H25&lt;&gt;"Cancelada"),"Sesión pasada sin cerrar",IF(AND(D25&gt;=Resumen!$C$6,D25&lt;=Resumen!$C$6+Resumen!$C$5,H25&lt;&gt;"Cerrada",OR(I25=0,J25=0)),"Revisar asignación",IF(AND(H25="Cerrada",K25&gt;0),"Hay soportes sin devolver",""))))</f>
        <v/>
      </c>
      <c r="N25" s="26" t="n"/>
    </row>
    <row r="26" ht="22" customHeight="1">
      <c r="A26" s="20" t="n"/>
      <c r="B26" s="20" t="n"/>
      <c r="C26" s="20" t="n"/>
      <c r="D26" s="22" t="n"/>
      <c r="E26" s="20" t="n"/>
      <c r="F26" s="20" t="n"/>
      <c r="G26" s="20" t="n"/>
      <c r="H26" s="20" t="n"/>
      <c r="I26" s="23">
        <f>IF(A26="","",COUNTIFS(tblControl[ID de sesión],A26,tblControl[Tipo],"Batería"))</f>
        <v/>
      </c>
      <c r="J26" s="23">
        <f>IF(A26="","",COUNTIFS(tblControl[ID de sesión],A26,tblControl[Tipo],"Tarjeta"))</f>
        <v/>
      </c>
      <c r="K26" s="23">
        <f>IF(A26="","",COUNTIFS(tblControl[ID de sesión],A26,tblControl[Estado del control],"Abierto"))</f>
        <v/>
      </c>
      <c r="L26" s="27">
        <f>IF(A26="","",SUMIFS(tblControl[GB usados],tblControl[ID de sesión],A26))</f>
        <v/>
      </c>
      <c r="M26" s="25">
        <f>IF(A26="","",IF(AND(D26&lt;Resumen!$C$6,H26&lt;&gt;"Cerrada",H26&lt;&gt;"Cancelada"),"Sesión pasada sin cerrar",IF(AND(D26&gt;=Resumen!$C$6,D26&lt;=Resumen!$C$6+Resumen!$C$5,H26&lt;&gt;"Cerrada",OR(I26=0,J26=0)),"Revisar asignación",IF(AND(H26="Cerrada",K26&gt;0),"Hay soportes sin devolver",""))))</f>
        <v/>
      </c>
      <c r="N26" s="26" t="n"/>
    </row>
    <row r="27" ht="22" customHeight="1">
      <c r="A27" s="20" t="n"/>
      <c r="B27" s="20" t="n"/>
      <c r="C27" s="20" t="n"/>
      <c r="D27" s="22" t="n"/>
      <c r="E27" s="20" t="n"/>
      <c r="F27" s="20" t="n"/>
      <c r="G27" s="20" t="n"/>
      <c r="H27" s="20" t="n"/>
      <c r="I27" s="23">
        <f>IF(A27="","",COUNTIFS(tblControl[ID de sesión],A27,tblControl[Tipo],"Batería"))</f>
        <v/>
      </c>
      <c r="J27" s="23">
        <f>IF(A27="","",COUNTIFS(tblControl[ID de sesión],A27,tblControl[Tipo],"Tarjeta"))</f>
        <v/>
      </c>
      <c r="K27" s="23">
        <f>IF(A27="","",COUNTIFS(tblControl[ID de sesión],A27,tblControl[Estado del control],"Abierto"))</f>
        <v/>
      </c>
      <c r="L27" s="27">
        <f>IF(A27="","",SUMIFS(tblControl[GB usados],tblControl[ID de sesión],A27))</f>
        <v/>
      </c>
      <c r="M27" s="25">
        <f>IF(A27="","",IF(AND(D27&lt;Resumen!$C$6,H27&lt;&gt;"Cerrada",H27&lt;&gt;"Cancelada"),"Sesión pasada sin cerrar",IF(AND(D27&gt;=Resumen!$C$6,D27&lt;=Resumen!$C$6+Resumen!$C$5,H27&lt;&gt;"Cerrada",OR(I27=0,J27=0)),"Revisar asignación",IF(AND(H27="Cerrada",K27&gt;0),"Hay soportes sin devolver",""))))</f>
        <v/>
      </c>
      <c r="N27" s="26" t="n"/>
    </row>
    <row r="28" ht="22" customHeight="1">
      <c r="A28" s="20" t="n"/>
      <c r="B28" s="20" t="n"/>
      <c r="C28" s="20" t="n"/>
      <c r="D28" s="22" t="n"/>
      <c r="E28" s="20" t="n"/>
      <c r="F28" s="20" t="n"/>
      <c r="G28" s="20" t="n"/>
      <c r="H28" s="20" t="n"/>
      <c r="I28" s="23">
        <f>IF(A28="","",COUNTIFS(tblControl[ID de sesión],A28,tblControl[Tipo],"Batería"))</f>
        <v/>
      </c>
      <c r="J28" s="23">
        <f>IF(A28="","",COUNTIFS(tblControl[ID de sesión],A28,tblControl[Tipo],"Tarjeta"))</f>
        <v/>
      </c>
      <c r="K28" s="23">
        <f>IF(A28="","",COUNTIFS(tblControl[ID de sesión],A28,tblControl[Estado del control],"Abierto"))</f>
        <v/>
      </c>
      <c r="L28" s="27">
        <f>IF(A28="","",SUMIFS(tblControl[GB usados],tblControl[ID de sesión],A28))</f>
        <v/>
      </c>
      <c r="M28" s="25">
        <f>IF(A28="","",IF(AND(D28&lt;Resumen!$C$6,H28&lt;&gt;"Cerrada",H28&lt;&gt;"Cancelada"),"Sesión pasada sin cerrar",IF(AND(D28&gt;=Resumen!$C$6,D28&lt;=Resumen!$C$6+Resumen!$C$5,H28&lt;&gt;"Cerrada",OR(I28=0,J28=0)),"Revisar asignación",IF(AND(H28="Cerrada",K28&gt;0),"Hay soportes sin devolver",""))))</f>
        <v/>
      </c>
      <c r="N28" s="26" t="n"/>
    </row>
    <row r="29" ht="22" customHeight="1">
      <c r="A29" s="20" t="n"/>
      <c r="B29" s="20" t="n"/>
      <c r="C29" s="20" t="n"/>
      <c r="D29" s="22" t="n"/>
      <c r="E29" s="20" t="n"/>
      <c r="F29" s="20" t="n"/>
      <c r="G29" s="20" t="n"/>
      <c r="H29" s="20" t="n"/>
      <c r="I29" s="23">
        <f>IF(A29="","",COUNTIFS(tblControl[ID de sesión],A29,tblControl[Tipo],"Batería"))</f>
        <v/>
      </c>
      <c r="J29" s="23">
        <f>IF(A29="","",COUNTIFS(tblControl[ID de sesión],A29,tblControl[Tipo],"Tarjeta"))</f>
        <v/>
      </c>
      <c r="K29" s="23">
        <f>IF(A29="","",COUNTIFS(tblControl[ID de sesión],A29,tblControl[Estado del control],"Abierto"))</f>
        <v/>
      </c>
      <c r="L29" s="27">
        <f>IF(A29="","",SUMIFS(tblControl[GB usados],tblControl[ID de sesión],A29))</f>
        <v/>
      </c>
      <c r="M29" s="25">
        <f>IF(A29="","",IF(AND(D29&lt;Resumen!$C$6,H29&lt;&gt;"Cerrada",H29&lt;&gt;"Cancelada"),"Sesión pasada sin cerrar",IF(AND(D29&gt;=Resumen!$C$6,D29&lt;=Resumen!$C$6+Resumen!$C$5,H29&lt;&gt;"Cerrada",OR(I29=0,J29=0)),"Revisar asignación",IF(AND(H29="Cerrada",K29&gt;0),"Hay soportes sin devolver",""))))</f>
        <v/>
      </c>
      <c r="N29" s="26" t="n"/>
    </row>
    <row r="30" ht="22" customHeight="1">
      <c r="A30" s="20" t="n"/>
      <c r="B30" s="20" t="n"/>
      <c r="C30" s="20" t="n"/>
      <c r="D30" s="22" t="n"/>
      <c r="E30" s="20" t="n"/>
      <c r="F30" s="20" t="n"/>
      <c r="G30" s="20" t="n"/>
      <c r="H30" s="20" t="n"/>
      <c r="I30" s="23">
        <f>IF(A30="","",COUNTIFS(tblControl[ID de sesión],A30,tblControl[Tipo],"Batería"))</f>
        <v/>
      </c>
      <c r="J30" s="23">
        <f>IF(A30="","",COUNTIFS(tblControl[ID de sesión],A30,tblControl[Tipo],"Tarjeta"))</f>
        <v/>
      </c>
      <c r="K30" s="23">
        <f>IF(A30="","",COUNTIFS(tblControl[ID de sesión],A30,tblControl[Estado del control],"Abierto"))</f>
        <v/>
      </c>
      <c r="L30" s="27">
        <f>IF(A30="","",SUMIFS(tblControl[GB usados],tblControl[ID de sesión],A30))</f>
        <v/>
      </c>
      <c r="M30" s="25">
        <f>IF(A30="","",IF(AND(D30&lt;Resumen!$C$6,H30&lt;&gt;"Cerrada",H30&lt;&gt;"Cancelada"),"Sesión pasada sin cerrar",IF(AND(D30&gt;=Resumen!$C$6,D30&lt;=Resumen!$C$6+Resumen!$C$5,H30&lt;&gt;"Cerrada",OR(I30=0,J30=0)),"Revisar asignación",IF(AND(H30="Cerrada",K30&gt;0),"Hay soportes sin devolver",""))))</f>
        <v/>
      </c>
      <c r="N30" s="26" t="n"/>
    </row>
    <row r="31" ht="22" customHeight="1">
      <c r="A31" s="20" t="n"/>
      <c r="B31" s="20" t="n"/>
      <c r="C31" s="20" t="n"/>
      <c r="D31" s="22" t="n"/>
      <c r="E31" s="20" t="n"/>
      <c r="F31" s="20" t="n"/>
      <c r="G31" s="20" t="n"/>
      <c r="H31" s="20" t="n"/>
      <c r="I31" s="23">
        <f>IF(A31="","",COUNTIFS(tblControl[ID de sesión],A31,tblControl[Tipo],"Batería"))</f>
        <v/>
      </c>
      <c r="J31" s="23">
        <f>IF(A31="","",COUNTIFS(tblControl[ID de sesión],A31,tblControl[Tipo],"Tarjeta"))</f>
        <v/>
      </c>
      <c r="K31" s="23">
        <f>IF(A31="","",COUNTIFS(tblControl[ID de sesión],A31,tblControl[Estado del control],"Abierto"))</f>
        <v/>
      </c>
      <c r="L31" s="27">
        <f>IF(A31="","",SUMIFS(tblControl[GB usados],tblControl[ID de sesión],A31))</f>
        <v/>
      </c>
      <c r="M31" s="25">
        <f>IF(A31="","",IF(AND(D31&lt;Resumen!$C$6,H31&lt;&gt;"Cerrada",H31&lt;&gt;"Cancelada"),"Sesión pasada sin cerrar",IF(AND(D31&gt;=Resumen!$C$6,D31&lt;=Resumen!$C$6+Resumen!$C$5,H31&lt;&gt;"Cerrada",OR(I31=0,J31=0)),"Revisar asignación",IF(AND(H31="Cerrada",K31&gt;0),"Hay soportes sin devolver",""))))</f>
        <v/>
      </c>
      <c r="N31" s="26" t="n"/>
    </row>
    <row r="32" ht="22" customHeight="1">
      <c r="A32" s="20" t="n"/>
      <c r="B32" s="20" t="n"/>
      <c r="C32" s="20" t="n"/>
      <c r="D32" s="22" t="n"/>
      <c r="E32" s="20" t="n"/>
      <c r="F32" s="20" t="n"/>
      <c r="G32" s="20" t="n"/>
      <c r="H32" s="20" t="n"/>
      <c r="I32" s="23">
        <f>IF(A32="","",COUNTIFS(tblControl[ID de sesión],A32,tblControl[Tipo],"Batería"))</f>
        <v/>
      </c>
      <c r="J32" s="23">
        <f>IF(A32="","",COUNTIFS(tblControl[ID de sesión],A32,tblControl[Tipo],"Tarjeta"))</f>
        <v/>
      </c>
      <c r="K32" s="23">
        <f>IF(A32="","",COUNTIFS(tblControl[ID de sesión],A32,tblControl[Estado del control],"Abierto"))</f>
        <v/>
      </c>
      <c r="L32" s="27">
        <f>IF(A32="","",SUMIFS(tblControl[GB usados],tblControl[ID de sesión],A32))</f>
        <v/>
      </c>
      <c r="M32" s="25">
        <f>IF(A32="","",IF(AND(D32&lt;Resumen!$C$6,H32&lt;&gt;"Cerrada",H32&lt;&gt;"Cancelada"),"Sesión pasada sin cerrar",IF(AND(D32&gt;=Resumen!$C$6,D32&lt;=Resumen!$C$6+Resumen!$C$5,H32&lt;&gt;"Cerrada",OR(I32=0,J32=0)),"Revisar asignación",IF(AND(H32="Cerrada",K32&gt;0),"Hay soportes sin devolver",""))))</f>
        <v/>
      </c>
      <c r="N32" s="26" t="n"/>
    </row>
    <row r="33" ht="22" customHeight="1">
      <c r="A33" s="20" t="n"/>
      <c r="B33" s="20" t="n"/>
      <c r="C33" s="20" t="n"/>
      <c r="D33" s="22" t="n"/>
      <c r="E33" s="20" t="n"/>
      <c r="F33" s="20" t="n"/>
      <c r="G33" s="20" t="n"/>
      <c r="H33" s="20" t="n"/>
      <c r="I33" s="23">
        <f>IF(A33="","",COUNTIFS(tblControl[ID de sesión],A33,tblControl[Tipo],"Batería"))</f>
        <v/>
      </c>
      <c r="J33" s="23">
        <f>IF(A33="","",COUNTIFS(tblControl[ID de sesión],A33,tblControl[Tipo],"Tarjeta"))</f>
        <v/>
      </c>
      <c r="K33" s="23">
        <f>IF(A33="","",COUNTIFS(tblControl[ID de sesión],A33,tblControl[Estado del control],"Abierto"))</f>
        <v/>
      </c>
      <c r="L33" s="27">
        <f>IF(A33="","",SUMIFS(tblControl[GB usados],tblControl[ID de sesión],A33))</f>
        <v/>
      </c>
      <c r="M33" s="25">
        <f>IF(A33="","",IF(AND(D33&lt;Resumen!$C$6,H33&lt;&gt;"Cerrada",H33&lt;&gt;"Cancelada"),"Sesión pasada sin cerrar",IF(AND(D33&gt;=Resumen!$C$6,D33&lt;=Resumen!$C$6+Resumen!$C$5,H33&lt;&gt;"Cerrada",OR(I33=0,J33=0)),"Revisar asignación",IF(AND(H33="Cerrada",K33&gt;0),"Hay soportes sin devolver",""))))</f>
        <v/>
      </c>
      <c r="N33" s="26" t="n"/>
    </row>
    <row r="34" ht="22" customHeight="1">
      <c r="A34" s="20" t="n"/>
      <c r="B34" s="20" t="n"/>
      <c r="C34" s="20" t="n"/>
      <c r="D34" s="22" t="n"/>
      <c r="E34" s="20" t="n"/>
      <c r="F34" s="20" t="n"/>
      <c r="G34" s="20" t="n"/>
      <c r="H34" s="20" t="n"/>
      <c r="I34" s="23">
        <f>IF(A34="","",COUNTIFS(tblControl[ID de sesión],A34,tblControl[Tipo],"Batería"))</f>
        <v/>
      </c>
      <c r="J34" s="23">
        <f>IF(A34="","",COUNTIFS(tblControl[ID de sesión],A34,tblControl[Tipo],"Tarjeta"))</f>
        <v/>
      </c>
      <c r="K34" s="23">
        <f>IF(A34="","",COUNTIFS(tblControl[ID de sesión],A34,tblControl[Estado del control],"Abierto"))</f>
        <v/>
      </c>
      <c r="L34" s="27">
        <f>IF(A34="","",SUMIFS(tblControl[GB usados],tblControl[ID de sesión],A34))</f>
        <v/>
      </c>
      <c r="M34" s="25">
        <f>IF(A34="","",IF(AND(D34&lt;Resumen!$C$6,H34&lt;&gt;"Cerrada",H34&lt;&gt;"Cancelada"),"Sesión pasada sin cerrar",IF(AND(D34&gt;=Resumen!$C$6,D34&lt;=Resumen!$C$6+Resumen!$C$5,H34&lt;&gt;"Cerrada",OR(I34=0,J34=0)),"Revisar asignación",IF(AND(H34="Cerrada",K34&gt;0),"Hay soportes sin devolver",""))))</f>
        <v/>
      </c>
      <c r="N34" s="26" t="n"/>
    </row>
    <row r="35" ht="22" customHeight="1">
      <c r="A35" s="20" t="n"/>
      <c r="B35" s="20" t="n"/>
      <c r="C35" s="20" t="n"/>
      <c r="D35" s="22" t="n"/>
      <c r="E35" s="20" t="n"/>
      <c r="F35" s="20" t="n"/>
      <c r="G35" s="20" t="n"/>
      <c r="H35" s="20" t="n"/>
      <c r="I35" s="23">
        <f>IF(A35="","",COUNTIFS(tblControl[ID de sesión],A35,tblControl[Tipo],"Batería"))</f>
        <v/>
      </c>
      <c r="J35" s="23">
        <f>IF(A35="","",COUNTIFS(tblControl[ID de sesión],A35,tblControl[Tipo],"Tarjeta"))</f>
        <v/>
      </c>
      <c r="K35" s="23">
        <f>IF(A35="","",COUNTIFS(tblControl[ID de sesión],A35,tblControl[Estado del control],"Abierto"))</f>
        <v/>
      </c>
      <c r="L35" s="27">
        <f>IF(A35="","",SUMIFS(tblControl[GB usados],tblControl[ID de sesión],A35))</f>
        <v/>
      </c>
      <c r="M35" s="25">
        <f>IF(A35="","",IF(AND(D35&lt;Resumen!$C$6,H35&lt;&gt;"Cerrada",H35&lt;&gt;"Cancelada"),"Sesión pasada sin cerrar",IF(AND(D35&gt;=Resumen!$C$6,D35&lt;=Resumen!$C$6+Resumen!$C$5,H35&lt;&gt;"Cerrada",OR(I35=0,J35=0)),"Revisar asignación",IF(AND(H35="Cerrada",K35&gt;0),"Hay soportes sin devolver",""))))</f>
        <v/>
      </c>
      <c r="N35" s="26" t="n"/>
    </row>
    <row r="36" ht="22" customHeight="1">
      <c r="A36" s="20" t="n"/>
      <c r="B36" s="20" t="n"/>
      <c r="C36" s="20" t="n"/>
      <c r="D36" s="22" t="n"/>
      <c r="E36" s="20" t="n"/>
      <c r="F36" s="20" t="n"/>
      <c r="G36" s="20" t="n"/>
      <c r="H36" s="20" t="n"/>
      <c r="I36" s="23">
        <f>IF(A36="","",COUNTIFS(tblControl[ID de sesión],A36,tblControl[Tipo],"Batería"))</f>
        <v/>
      </c>
      <c r="J36" s="23">
        <f>IF(A36="","",COUNTIFS(tblControl[ID de sesión],A36,tblControl[Tipo],"Tarjeta"))</f>
        <v/>
      </c>
      <c r="K36" s="23">
        <f>IF(A36="","",COUNTIFS(tblControl[ID de sesión],A36,tblControl[Estado del control],"Abierto"))</f>
        <v/>
      </c>
      <c r="L36" s="27">
        <f>IF(A36="","",SUMIFS(tblControl[GB usados],tblControl[ID de sesión],A36))</f>
        <v/>
      </c>
      <c r="M36" s="25">
        <f>IF(A36="","",IF(AND(D36&lt;Resumen!$C$6,H36&lt;&gt;"Cerrada",H36&lt;&gt;"Cancelada"),"Sesión pasada sin cerrar",IF(AND(D36&gt;=Resumen!$C$6,D36&lt;=Resumen!$C$6+Resumen!$C$5,H36&lt;&gt;"Cerrada",OR(I36=0,J36=0)),"Revisar asignación",IF(AND(H36="Cerrada",K36&gt;0),"Hay soportes sin devolver",""))))</f>
        <v/>
      </c>
      <c r="N36" s="26" t="n"/>
    </row>
    <row r="37" ht="22" customHeight="1">
      <c r="A37" s="20" t="n"/>
      <c r="B37" s="20" t="n"/>
      <c r="C37" s="20" t="n"/>
      <c r="D37" s="22" t="n"/>
      <c r="E37" s="20" t="n"/>
      <c r="F37" s="20" t="n"/>
      <c r="G37" s="20" t="n"/>
      <c r="H37" s="20" t="n"/>
      <c r="I37" s="23">
        <f>IF(A37="","",COUNTIFS(tblControl[ID de sesión],A37,tblControl[Tipo],"Batería"))</f>
        <v/>
      </c>
      <c r="J37" s="23">
        <f>IF(A37="","",COUNTIFS(tblControl[ID de sesión],A37,tblControl[Tipo],"Tarjeta"))</f>
        <v/>
      </c>
      <c r="K37" s="23">
        <f>IF(A37="","",COUNTIFS(tblControl[ID de sesión],A37,tblControl[Estado del control],"Abierto"))</f>
        <v/>
      </c>
      <c r="L37" s="27">
        <f>IF(A37="","",SUMIFS(tblControl[GB usados],tblControl[ID de sesión],A37))</f>
        <v/>
      </c>
      <c r="M37" s="25">
        <f>IF(A37="","",IF(AND(D37&lt;Resumen!$C$6,H37&lt;&gt;"Cerrada",H37&lt;&gt;"Cancelada"),"Sesión pasada sin cerrar",IF(AND(D37&gt;=Resumen!$C$6,D37&lt;=Resumen!$C$6+Resumen!$C$5,H37&lt;&gt;"Cerrada",OR(I37=0,J37=0)),"Revisar asignación",IF(AND(H37="Cerrada",K37&gt;0),"Hay soportes sin devolver",""))))</f>
        <v/>
      </c>
      <c r="N37" s="26" t="n"/>
    </row>
    <row r="38" ht="22" customHeight="1">
      <c r="A38" s="20" t="n"/>
      <c r="B38" s="20" t="n"/>
      <c r="C38" s="20" t="n"/>
      <c r="D38" s="22" t="n"/>
      <c r="E38" s="20" t="n"/>
      <c r="F38" s="20" t="n"/>
      <c r="G38" s="20" t="n"/>
      <c r="H38" s="20" t="n"/>
      <c r="I38" s="23">
        <f>IF(A38="","",COUNTIFS(tblControl[ID de sesión],A38,tblControl[Tipo],"Batería"))</f>
        <v/>
      </c>
      <c r="J38" s="23">
        <f>IF(A38="","",COUNTIFS(tblControl[ID de sesión],A38,tblControl[Tipo],"Tarjeta"))</f>
        <v/>
      </c>
      <c r="K38" s="23">
        <f>IF(A38="","",COUNTIFS(tblControl[ID de sesión],A38,tblControl[Estado del control],"Abierto"))</f>
        <v/>
      </c>
      <c r="L38" s="27">
        <f>IF(A38="","",SUMIFS(tblControl[GB usados],tblControl[ID de sesión],A38))</f>
        <v/>
      </c>
      <c r="M38" s="25">
        <f>IF(A38="","",IF(AND(D38&lt;Resumen!$C$6,H38&lt;&gt;"Cerrada",H38&lt;&gt;"Cancelada"),"Sesión pasada sin cerrar",IF(AND(D38&gt;=Resumen!$C$6,D38&lt;=Resumen!$C$6+Resumen!$C$5,H38&lt;&gt;"Cerrada",OR(I38=0,J38=0)),"Revisar asignación",IF(AND(H38="Cerrada",K38&gt;0),"Hay soportes sin devolver",""))))</f>
        <v/>
      </c>
      <c r="N38" s="26" t="n"/>
    </row>
    <row r="39" ht="22" customHeight="1">
      <c r="A39" s="20" t="n"/>
      <c r="B39" s="20" t="n"/>
      <c r="C39" s="20" t="n"/>
      <c r="D39" s="22" t="n"/>
      <c r="E39" s="20" t="n"/>
      <c r="F39" s="20" t="n"/>
      <c r="G39" s="20" t="n"/>
      <c r="H39" s="20" t="n"/>
      <c r="I39" s="23">
        <f>IF(A39="","",COUNTIFS(tblControl[ID de sesión],A39,tblControl[Tipo],"Batería"))</f>
        <v/>
      </c>
      <c r="J39" s="23">
        <f>IF(A39="","",COUNTIFS(tblControl[ID de sesión],A39,tblControl[Tipo],"Tarjeta"))</f>
        <v/>
      </c>
      <c r="K39" s="23">
        <f>IF(A39="","",COUNTIFS(tblControl[ID de sesión],A39,tblControl[Estado del control],"Abierto"))</f>
        <v/>
      </c>
      <c r="L39" s="27">
        <f>IF(A39="","",SUMIFS(tblControl[GB usados],tblControl[ID de sesión],A39))</f>
        <v/>
      </c>
      <c r="M39" s="25">
        <f>IF(A39="","",IF(AND(D39&lt;Resumen!$C$6,H39&lt;&gt;"Cerrada",H39&lt;&gt;"Cancelada"),"Sesión pasada sin cerrar",IF(AND(D39&gt;=Resumen!$C$6,D39&lt;=Resumen!$C$6+Resumen!$C$5,H39&lt;&gt;"Cerrada",OR(I39=0,J39=0)),"Revisar asignación",IF(AND(H39="Cerrada",K39&gt;0),"Hay soportes sin devolver",""))))</f>
        <v/>
      </c>
      <c r="N39" s="26" t="n"/>
    </row>
    <row r="40" ht="22" customHeight="1">
      <c r="A40" s="20" t="n"/>
      <c r="B40" s="20" t="n"/>
      <c r="C40" s="20" t="n"/>
      <c r="D40" s="22" t="n"/>
      <c r="E40" s="20" t="n"/>
      <c r="F40" s="20" t="n"/>
      <c r="G40" s="20" t="n"/>
      <c r="H40" s="20" t="n"/>
      <c r="I40" s="23">
        <f>IF(A40="","",COUNTIFS(tblControl[ID de sesión],A40,tblControl[Tipo],"Batería"))</f>
        <v/>
      </c>
      <c r="J40" s="23">
        <f>IF(A40="","",COUNTIFS(tblControl[ID de sesión],A40,tblControl[Tipo],"Tarjeta"))</f>
        <v/>
      </c>
      <c r="K40" s="23">
        <f>IF(A40="","",COUNTIFS(tblControl[ID de sesión],A40,tblControl[Estado del control],"Abierto"))</f>
        <v/>
      </c>
      <c r="L40" s="27">
        <f>IF(A40="","",SUMIFS(tblControl[GB usados],tblControl[ID de sesión],A40))</f>
        <v/>
      </c>
      <c r="M40" s="25">
        <f>IF(A40="","",IF(AND(D40&lt;Resumen!$C$6,H40&lt;&gt;"Cerrada",H40&lt;&gt;"Cancelada"),"Sesión pasada sin cerrar",IF(AND(D40&gt;=Resumen!$C$6,D40&lt;=Resumen!$C$6+Resumen!$C$5,H40&lt;&gt;"Cerrada",OR(I40=0,J40=0)),"Revisar asignación",IF(AND(H40="Cerrada",K40&gt;0),"Hay soportes sin devolver",""))))</f>
        <v/>
      </c>
      <c r="N40" s="26" t="n"/>
    </row>
    <row r="41" ht="22" customHeight="1">
      <c r="A41" s="20" t="n"/>
      <c r="B41" s="20" t="n"/>
      <c r="C41" s="20" t="n"/>
      <c r="D41" s="22" t="n"/>
      <c r="E41" s="20" t="n"/>
      <c r="F41" s="20" t="n"/>
      <c r="G41" s="20" t="n"/>
      <c r="H41" s="20" t="n"/>
      <c r="I41" s="23">
        <f>IF(A41="","",COUNTIFS(tblControl[ID de sesión],A41,tblControl[Tipo],"Batería"))</f>
        <v/>
      </c>
      <c r="J41" s="23">
        <f>IF(A41="","",COUNTIFS(tblControl[ID de sesión],A41,tblControl[Tipo],"Tarjeta"))</f>
        <v/>
      </c>
      <c r="K41" s="23">
        <f>IF(A41="","",COUNTIFS(tblControl[ID de sesión],A41,tblControl[Estado del control],"Abierto"))</f>
        <v/>
      </c>
      <c r="L41" s="27">
        <f>IF(A41="","",SUMIFS(tblControl[GB usados],tblControl[ID de sesión],A41))</f>
        <v/>
      </c>
      <c r="M41" s="25">
        <f>IF(A41="","",IF(AND(D41&lt;Resumen!$C$6,H41&lt;&gt;"Cerrada",H41&lt;&gt;"Cancelada"),"Sesión pasada sin cerrar",IF(AND(D41&gt;=Resumen!$C$6,D41&lt;=Resumen!$C$6+Resumen!$C$5,H41&lt;&gt;"Cerrada",OR(I41=0,J41=0)),"Revisar asignación",IF(AND(H41="Cerrada",K41&gt;0),"Hay soportes sin devolver",""))))</f>
        <v/>
      </c>
      <c r="N41" s="26" t="n"/>
    </row>
    <row r="42" ht="22" customHeight="1">
      <c r="A42" s="20" t="n"/>
      <c r="B42" s="20" t="n"/>
      <c r="C42" s="20" t="n"/>
      <c r="D42" s="22" t="n"/>
      <c r="E42" s="20" t="n"/>
      <c r="F42" s="20" t="n"/>
      <c r="G42" s="20" t="n"/>
      <c r="H42" s="20" t="n"/>
      <c r="I42" s="23">
        <f>IF(A42="","",COUNTIFS(tblControl[ID de sesión],A42,tblControl[Tipo],"Batería"))</f>
        <v/>
      </c>
      <c r="J42" s="23">
        <f>IF(A42="","",COUNTIFS(tblControl[ID de sesión],A42,tblControl[Tipo],"Tarjeta"))</f>
        <v/>
      </c>
      <c r="K42" s="23">
        <f>IF(A42="","",COUNTIFS(tblControl[ID de sesión],A42,tblControl[Estado del control],"Abierto"))</f>
        <v/>
      </c>
      <c r="L42" s="27">
        <f>IF(A42="","",SUMIFS(tblControl[GB usados],tblControl[ID de sesión],A42))</f>
        <v/>
      </c>
      <c r="M42" s="25">
        <f>IF(A42="","",IF(AND(D42&lt;Resumen!$C$6,H42&lt;&gt;"Cerrada",H42&lt;&gt;"Cancelada"),"Sesión pasada sin cerrar",IF(AND(D42&gt;=Resumen!$C$6,D42&lt;=Resumen!$C$6+Resumen!$C$5,H42&lt;&gt;"Cerrada",OR(I42=0,J42=0)),"Revisar asignación",IF(AND(H42="Cerrada",K42&gt;0),"Hay soportes sin devolver",""))))</f>
        <v/>
      </c>
      <c r="N42" s="26" t="n"/>
    </row>
    <row r="43" ht="22" customHeight="1">
      <c r="A43" s="20" t="n"/>
      <c r="B43" s="20" t="n"/>
      <c r="C43" s="20" t="n"/>
      <c r="D43" s="22" t="n"/>
      <c r="E43" s="20" t="n"/>
      <c r="F43" s="20" t="n"/>
      <c r="G43" s="20" t="n"/>
      <c r="H43" s="20" t="n"/>
      <c r="I43" s="23">
        <f>IF(A43="","",COUNTIFS(tblControl[ID de sesión],A43,tblControl[Tipo],"Batería"))</f>
        <v/>
      </c>
      <c r="J43" s="23">
        <f>IF(A43="","",COUNTIFS(tblControl[ID de sesión],A43,tblControl[Tipo],"Tarjeta"))</f>
        <v/>
      </c>
      <c r="K43" s="23">
        <f>IF(A43="","",COUNTIFS(tblControl[ID de sesión],A43,tblControl[Estado del control],"Abierto"))</f>
        <v/>
      </c>
      <c r="L43" s="27">
        <f>IF(A43="","",SUMIFS(tblControl[GB usados],tblControl[ID de sesión],A43))</f>
        <v/>
      </c>
      <c r="M43" s="25">
        <f>IF(A43="","",IF(AND(D43&lt;Resumen!$C$6,H43&lt;&gt;"Cerrada",H43&lt;&gt;"Cancelada"),"Sesión pasada sin cerrar",IF(AND(D43&gt;=Resumen!$C$6,D43&lt;=Resumen!$C$6+Resumen!$C$5,H43&lt;&gt;"Cerrada",OR(I43=0,J43=0)),"Revisar asignación",IF(AND(H43="Cerrada",K43&gt;0),"Hay soportes sin devolver",""))))</f>
        <v/>
      </c>
      <c r="N43" s="26" t="n"/>
    </row>
    <row r="44" ht="22" customHeight="1">
      <c r="A44" s="20" t="n"/>
      <c r="B44" s="20" t="n"/>
      <c r="C44" s="20" t="n"/>
      <c r="D44" s="22" t="n"/>
      <c r="E44" s="20" t="n"/>
      <c r="F44" s="20" t="n"/>
      <c r="G44" s="20" t="n"/>
      <c r="H44" s="20" t="n"/>
      <c r="I44" s="23">
        <f>IF(A44="","",COUNTIFS(tblControl[ID de sesión],A44,tblControl[Tipo],"Batería"))</f>
        <v/>
      </c>
      <c r="J44" s="23">
        <f>IF(A44="","",COUNTIFS(tblControl[ID de sesión],A44,tblControl[Tipo],"Tarjeta"))</f>
        <v/>
      </c>
      <c r="K44" s="23">
        <f>IF(A44="","",COUNTIFS(tblControl[ID de sesión],A44,tblControl[Estado del control],"Abierto"))</f>
        <v/>
      </c>
      <c r="L44" s="27">
        <f>IF(A44="","",SUMIFS(tblControl[GB usados],tblControl[ID de sesión],A44))</f>
        <v/>
      </c>
      <c r="M44" s="25">
        <f>IF(A44="","",IF(AND(D44&lt;Resumen!$C$6,H44&lt;&gt;"Cerrada",H44&lt;&gt;"Cancelada"),"Sesión pasada sin cerrar",IF(AND(D44&gt;=Resumen!$C$6,D44&lt;=Resumen!$C$6+Resumen!$C$5,H44&lt;&gt;"Cerrada",OR(I44=0,J44=0)),"Revisar asignación",IF(AND(H44="Cerrada",K44&gt;0),"Hay soportes sin devolver",""))))</f>
        <v/>
      </c>
      <c r="N44" s="26" t="n"/>
    </row>
    <row r="45" ht="22" customHeight="1">
      <c r="A45" s="20" t="n"/>
      <c r="B45" s="20" t="n"/>
      <c r="C45" s="20" t="n"/>
      <c r="D45" s="22" t="n"/>
      <c r="E45" s="20" t="n"/>
      <c r="F45" s="20" t="n"/>
      <c r="G45" s="20" t="n"/>
      <c r="H45" s="20" t="n"/>
      <c r="I45" s="23">
        <f>IF(A45="","",COUNTIFS(tblControl[ID de sesión],A45,tblControl[Tipo],"Batería"))</f>
        <v/>
      </c>
      <c r="J45" s="23">
        <f>IF(A45="","",COUNTIFS(tblControl[ID de sesión],A45,tblControl[Tipo],"Tarjeta"))</f>
        <v/>
      </c>
      <c r="K45" s="23">
        <f>IF(A45="","",COUNTIFS(tblControl[ID de sesión],A45,tblControl[Estado del control],"Abierto"))</f>
        <v/>
      </c>
      <c r="L45" s="27">
        <f>IF(A45="","",SUMIFS(tblControl[GB usados],tblControl[ID de sesión],A45))</f>
        <v/>
      </c>
      <c r="M45" s="25">
        <f>IF(A45="","",IF(AND(D45&lt;Resumen!$C$6,H45&lt;&gt;"Cerrada",H45&lt;&gt;"Cancelada"),"Sesión pasada sin cerrar",IF(AND(D45&gt;=Resumen!$C$6,D45&lt;=Resumen!$C$6+Resumen!$C$5,H45&lt;&gt;"Cerrada",OR(I45=0,J45=0)),"Revisar asignación",IF(AND(H45="Cerrada",K45&gt;0),"Hay soportes sin devolver",""))))</f>
        <v/>
      </c>
      <c r="N45" s="26" t="n"/>
    </row>
    <row r="46" ht="22" customHeight="1">
      <c r="A46" s="20" t="n"/>
      <c r="B46" s="20" t="n"/>
      <c r="C46" s="20" t="n"/>
      <c r="D46" s="22" t="n"/>
      <c r="E46" s="20" t="n"/>
      <c r="F46" s="20" t="n"/>
      <c r="G46" s="20" t="n"/>
      <c r="H46" s="20" t="n"/>
      <c r="I46" s="23">
        <f>IF(A46="","",COUNTIFS(tblControl[ID de sesión],A46,tblControl[Tipo],"Batería"))</f>
        <v/>
      </c>
      <c r="J46" s="23">
        <f>IF(A46="","",COUNTIFS(tblControl[ID de sesión],A46,tblControl[Tipo],"Tarjeta"))</f>
        <v/>
      </c>
      <c r="K46" s="23">
        <f>IF(A46="","",COUNTIFS(tblControl[ID de sesión],A46,tblControl[Estado del control],"Abierto"))</f>
        <v/>
      </c>
      <c r="L46" s="27">
        <f>IF(A46="","",SUMIFS(tblControl[GB usados],tblControl[ID de sesión],A46))</f>
        <v/>
      </c>
      <c r="M46" s="25">
        <f>IF(A46="","",IF(AND(D46&lt;Resumen!$C$6,H46&lt;&gt;"Cerrada",H46&lt;&gt;"Cancelada"),"Sesión pasada sin cerrar",IF(AND(D46&gt;=Resumen!$C$6,D46&lt;=Resumen!$C$6+Resumen!$C$5,H46&lt;&gt;"Cerrada",OR(I46=0,J46=0)),"Revisar asignación",IF(AND(H46="Cerrada",K46&gt;0),"Hay soportes sin devolver",""))))</f>
        <v/>
      </c>
      <c r="N46" s="26" t="n"/>
    </row>
    <row r="47" ht="22" customHeight="1">
      <c r="A47" s="20" t="n"/>
      <c r="B47" s="20" t="n"/>
      <c r="C47" s="20" t="n"/>
      <c r="D47" s="22" t="n"/>
      <c r="E47" s="20" t="n"/>
      <c r="F47" s="20" t="n"/>
      <c r="G47" s="20" t="n"/>
      <c r="H47" s="20" t="n"/>
      <c r="I47" s="23">
        <f>IF(A47="","",COUNTIFS(tblControl[ID de sesión],A47,tblControl[Tipo],"Batería"))</f>
        <v/>
      </c>
      <c r="J47" s="23">
        <f>IF(A47="","",COUNTIFS(tblControl[ID de sesión],A47,tblControl[Tipo],"Tarjeta"))</f>
        <v/>
      </c>
      <c r="K47" s="23">
        <f>IF(A47="","",COUNTIFS(tblControl[ID de sesión],A47,tblControl[Estado del control],"Abierto"))</f>
        <v/>
      </c>
      <c r="L47" s="27">
        <f>IF(A47="","",SUMIFS(tblControl[GB usados],tblControl[ID de sesión],A47))</f>
        <v/>
      </c>
      <c r="M47" s="25">
        <f>IF(A47="","",IF(AND(D47&lt;Resumen!$C$6,H47&lt;&gt;"Cerrada",H47&lt;&gt;"Cancelada"),"Sesión pasada sin cerrar",IF(AND(D47&gt;=Resumen!$C$6,D47&lt;=Resumen!$C$6+Resumen!$C$5,H47&lt;&gt;"Cerrada",OR(I47=0,J47=0)),"Revisar asignación",IF(AND(H47="Cerrada",K47&gt;0),"Hay soportes sin devolver",""))))</f>
        <v/>
      </c>
      <c r="N47" s="26" t="n"/>
    </row>
    <row r="48" ht="22" customHeight="1">
      <c r="A48" s="20" t="n"/>
      <c r="B48" s="20" t="n"/>
      <c r="C48" s="20" t="n"/>
      <c r="D48" s="22" t="n"/>
      <c r="E48" s="20" t="n"/>
      <c r="F48" s="20" t="n"/>
      <c r="G48" s="20" t="n"/>
      <c r="H48" s="20" t="n"/>
      <c r="I48" s="23">
        <f>IF(A48="","",COUNTIFS(tblControl[ID de sesión],A48,tblControl[Tipo],"Batería"))</f>
        <v/>
      </c>
      <c r="J48" s="23">
        <f>IF(A48="","",COUNTIFS(tblControl[ID de sesión],A48,tblControl[Tipo],"Tarjeta"))</f>
        <v/>
      </c>
      <c r="K48" s="23">
        <f>IF(A48="","",COUNTIFS(tblControl[ID de sesión],A48,tblControl[Estado del control],"Abierto"))</f>
        <v/>
      </c>
      <c r="L48" s="27">
        <f>IF(A48="","",SUMIFS(tblControl[GB usados],tblControl[ID de sesión],A48))</f>
        <v/>
      </c>
      <c r="M48" s="25">
        <f>IF(A48="","",IF(AND(D48&lt;Resumen!$C$6,H48&lt;&gt;"Cerrada",H48&lt;&gt;"Cancelada"),"Sesión pasada sin cerrar",IF(AND(D48&gt;=Resumen!$C$6,D48&lt;=Resumen!$C$6+Resumen!$C$5,H48&lt;&gt;"Cerrada",OR(I48=0,J48=0)),"Revisar asignación",IF(AND(H48="Cerrada",K48&gt;0),"Hay soportes sin devolver",""))))</f>
        <v/>
      </c>
      <c r="N48" s="26" t="n"/>
    </row>
    <row r="49" ht="22" customHeight="1">
      <c r="A49" s="20" t="n"/>
      <c r="B49" s="20" t="n"/>
      <c r="C49" s="20" t="n"/>
      <c r="D49" s="22" t="n"/>
      <c r="E49" s="20" t="n"/>
      <c r="F49" s="20" t="n"/>
      <c r="G49" s="20" t="n"/>
      <c r="H49" s="20" t="n"/>
      <c r="I49" s="23">
        <f>IF(A49="","",COUNTIFS(tblControl[ID de sesión],A49,tblControl[Tipo],"Batería"))</f>
        <v/>
      </c>
      <c r="J49" s="23">
        <f>IF(A49="","",COUNTIFS(tblControl[ID de sesión],A49,tblControl[Tipo],"Tarjeta"))</f>
        <v/>
      </c>
      <c r="K49" s="23">
        <f>IF(A49="","",COUNTIFS(tblControl[ID de sesión],A49,tblControl[Estado del control],"Abierto"))</f>
        <v/>
      </c>
      <c r="L49" s="27">
        <f>IF(A49="","",SUMIFS(tblControl[GB usados],tblControl[ID de sesión],A49))</f>
        <v/>
      </c>
      <c r="M49" s="25">
        <f>IF(A49="","",IF(AND(D49&lt;Resumen!$C$6,H49&lt;&gt;"Cerrada",H49&lt;&gt;"Cancelada"),"Sesión pasada sin cerrar",IF(AND(D49&gt;=Resumen!$C$6,D49&lt;=Resumen!$C$6+Resumen!$C$5,H49&lt;&gt;"Cerrada",OR(I49=0,J49=0)),"Revisar asignación",IF(AND(H49="Cerrada",K49&gt;0),"Hay soportes sin devolver",""))))</f>
        <v/>
      </c>
      <c r="N49" s="26" t="n"/>
    </row>
    <row r="50" ht="22" customHeight="1">
      <c r="A50" s="20" t="n"/>
      <c r="B50" s="20" t="n"/>
      <c r="C50" s="20" t="n"/>
      <c r="D50" s="22" t="n"/>
      <c r="E50" s="20" t="n"/>
      <c r="F50" s="20" t="n"/>
      <c r="G50" s="20" t="n"/>
      <c r="H50" s="20" t="n"/>
      <c r="I50" s="23">
        <f>IF(A50="","",COUNTIFS(tblControl[ID de sesión],A50,tblControl[Tipo],"Batería"))</f>
        <v/>
      </c>
      <c r="J50" s="23">
        <f>IF(A50="","",COUNTIFS(tblControl[ID de sesión],A50,tblControl[Tipo],"Tarjeta"))</f>
        <v/>
      </c>
      <c r="K50" s="23">
        <f>IF(A50="","",COUNTIFS(tblControl[ID de sesión],A50,tblControl[Estado del control],"Abierto"))</f>
        <v/>
      </c>
      <c r="L50" s="27">
        <f>IF(A50="","",SUMIFS(tblControl[GB usados],tblControl[ID de sesión],A50))</f>
        <v/>
      </c>
      <c r="M50" s="25">
        <f>IF(A50="","",IF(AND(D50&lt;Resumen!$C$6,H50&lt;&gt;"Cerrada",H50&lt;&gt;"Cancelada"),"Sesión pasada sin cerrar",IF(AND(D50&gt;=Resumen!$C$6,D50&lt;=Resumen!$C$6+Resumen!$C$5,H50&lt;&gt;"Cerrada",OR(I50=0,J50=0)),"Revisar asignación",IF(AND(H50="Cerrada",K50&gt;0),"Hay soportes sin devolver",""))))</f>
        <v/>
      </c>
      <c r="N50" s="26" t="n"/>
    </row>
    <row r="51" ht="22" customHeight="1">
      <c r="A51" s="20" t="n"/>
      <c r="B51" s="20" t="n"/>
      <c r="C51" s="20" t="n"/>
      <c r="D51" s="22" t="n"/>
      <c r="E51" s="20" t="n"/>
      <c r="F51" s="20" t="n"/>
      <c r="G51" s="20" t="n"/>
      <c r="H51" s="20" t="n"/>
      <c r="I51" s="23">
        <f>IF(A51="","",COUNTIFS(tblControl[ID de sesión],A51,tblControl[Tipo],"Batería"))</f>
        <v/>
      </c>
      <c r="J51" s="23">
        <f>IF(A51="","",COUNTIFS(tblControl[ID de sesión],A51,tblControl[Tipo],"Tarjeta"))</f>
        <v/>
      </c>
      <c r="K51" s="23">
        <f>IF(A51="","",COUNTIFS(tblControl[ID de sesión],A51,tblControl[Estado del control],"Abierto"))</f>
        <v/>
      </c>
      <c r="L51" s="27">
        <f>IF(A51="","",SUMIFS(tblControl[GB usados],tblControl[ID de sesión],A51))</f>
        <v/>
      </c>
      <c r="M51" s="25">
        <f>IF(A51="","",IF(AND(D51&lt;Resumen!$C$6,H51&lt;&gt;"Cerrada",H51&lt;&gt;"Cancelada"),"Sesión pasada sin cerrar",IF(AND(D51&gt;=Resumen!$C$6,D51&lt;=Resumen!$C$6+Resumen!$C$5,H51&lt;&gt;"Cerrada",OR(I51=0,J51=0)),"Revisar asignación",IF(AND(H51="Cerrada",K51&gt;0),"Hay soportes sin devolver",""))))</f>
        <v/>
      </c>
      <c r="N51" s="26" t="n"/>
    </row>
    <row r="52" ht="22" customHeight="1">
      <c r="A52" s="20" t="n"/>
      <c r="B52" s="20" t="n"/>
      <c r="C52" s="20" t="n"/>
      <c r="D52" s="22" t="n"/>
      <c r="E52" s="20" t="n"/>
      <c r="F52" s="20" t="n"/>
      <c r="G52" s="20" t="n"/>
      <c r="H52" s="20" t="n"/>
      <c r="I52" s="23">
        <f>IF(A52="","",COUNTIFS(tblControl[ID de sesión],A52,tblControl[Tipo],"Batería"))</f>
        <v/>
      </c>
      <c r="J52" s="23">
        <f>IF(A52="","",COUNTIFS(tblControl[ID de sesión],A52,tblControl[Tipo],"Tarjeta"))</f>
        <v/>
      </c>
      <c r="K52" s="23">
        <f>IF(A52="","",COUNTIFS(tblControl[ID de sesión],A52,tblControl[Estado del control],"Abierto"))</f>
        <v/>
      </c>
      <c r="L52" s="27">
        <f>IF(A52="","",SUMIFS(tblControl[GB usados],tblControl[ID de sesión],A52))</f>
        <v/>
      </c>
      <c r="M52" s="25">
        <f>IF(A52="","",IF(AND(D52&lt;Resumen!$C$6,H52&lt;&gt;"Cerrada",H52&lt;&gt;"Cancelada"),"Sesión pasada sin cerrar",IF(AND(D52&gt;=Resumen!$C$6,D52&lt;=Resumen!$C$6+Resumen!$C$5,H52&lt;&gt;"Cerrada",OR(I52=0,J52=0)),"Revisar asignación",IF(AND(H52="Cerrada",K52&gt;0),"Hay soportes sin devolver",""))))</f>
        <v/>
      </c>
      <c r="N52" s="26" t="n"/>
    </row>
    <row r="53" ht="22" customHeight="1">
      <c r="A53" s="20" t="n"/>
      <c r="B53" s="20" t="n"/>
      <c r="C53" s="20" t="n"/>
      <c r="D53" s="22" t="n"/>
      <c r="E53" s="20" t="n"/>
      <c r="F53" s="20" t="n"/>
      <c r="G53" s="20" t="n"/>
      <c r="H53" s="20" t="n"/>
      <c r="I53" s="23">
        <f>IF(A53="","",COUNTIFS(tblControl[ID de sesión],A53,tblControl[Tipo],"Batería"))</f>
        <v/>
      </c>
      <c r="J53" s="23">
        <f>IF(A53="","",COUNTIFS(tblControl[ID de sesión],A53,tblControl[Tipo],"Tarjeta"))</f>
        <v/>
      </c>
      <c r="K53" s="23">
        <f>IF(A53="","",COUNTIFS(tblControl[ID de sesión],A53,tblControl[Estado del control],"Abierto"))</f>
        <v/>
      </c>
      <c r="L53" s="27">
        <f>IF(A53="","",SUMIFS(tblControl[GB usados],tblControl[ID de sesión],A53))</f>
        <v/>
      </c>
      <c r="M53" s="25">
        <f>IF(A53="","",IF(AND(D53&lt;Resumen!$C$6,H53&lt;&gt;"Cerrada",H53&lt;&gt;"Cancelada"),"Sesión pasada sin cerrar",IF(AND(D53&gt;=Resumen!$C$6,D53&lt;=Resumen!$C$6+Resumen!$C$5,H53&lt;&gt;"Cerrada",OR(I53=0,J53=0)),"Revisar asignación",IF(AND(H53="Cerrada",K53&gt;0),"Hay soportes sin devolver",""))))</f>
        <v/>
      </c>
      <c r="N53" s="26" t="n"/>
    </row>
    <row r="54" ht="22" customHeight="1">
      <c r="A54" s="20" t="n"/>
      <c r="B54" s="20" t="n"/>
      <c r="C54" s="20" t="n"/>
      <c r="D54" s="22" t="n"/>
      <c r="E54" s="20" t="n"/>
      <c r="F54" s="20" t="n"/>
      <c r="G54" s="20" t="n"/>
      <c r="H54" s="20" t="n"/>
      <c r="I54" s="23">
        <f>IF(A54="","",COUNTIFS(tblControl[ID de sesión],A54,tblControl[Tipo],"Batería"))</f>
        <v/>
      </c>
      <c r="J54" s="23">
        <f>IF(A54="","",COUNTIFS(tblControl[ID de sesión],A54,tblControl[Tipo],"Tarjeta"))</f>
        <v/>
      </c>
      <c r="K54" s="23">
        <f>IF(A54="","",COUNTIFS(tblControl[ID de sesión],A54,tblControl[Estado del control],"Abierto"))</f>
        <v/>
      </c>
      <c r="L54" s="27">
        <f>IF(A54="","",SUMIFS(tblControl[GB usados],tblControl[ID de sesión],A54))</f>
        <v/>
      </c>
      <c r="M54" s="25">
        <f>IF(A54="","",IF(AND(D54&lt;Resumen!$C$6,H54&lt;&gt;"Cerrada",H54&lt;&gt;"Cancelada"),"Sesión pasada sin cerrar",IF(AND(D54&gt;=Resumen!$C$6,D54&lt;=Resumen!$C$6+Resumen!$C$5,H54&lt;&gt;"Cerrada",OR(I54=0,J54=0)),"Revisar asignación",IF(AND(H54="Cerrada",K54&gt;0),"Hay soportes sin devolver",""))))</f>
        <v/>
      </c>
      <c r="N54" s="26" t="n"/>
    </row>
    <row r="55" ht="22" customHeight="1">
      <c r="A55" s="20" t="n"/>
      <c r="B55" s="20" t="n"/>
      <c r="C55" s="20" t="n"/>
      <c r="D55" s="22" t="n"/>
      <c r="E55" s="20" t="n"/>
      <c r="F55" s="20" t="n"/>
      <c r="G55" s="20" t="n"/>
      <c r="H55" s="20" t="n"/>
      <c r="I55" s="23">
        <f>IF(A55="","",COUNTIFS(tblControl[ID de sesión],A55,tblControl[Tipo],"Batería"))</f>
        <v/>
      </c>
      <c r="J55" s="23">
        <f>IF(A55="","",COUNTIFS(tblControl[ID de sesión],A55,tblControl[Tipo],"Tarjeta"))</f>
        <v/>
      </c>
      <c r="K55" s="23">
        <f>IF(A55="","",COUNTIFS(tblControl[ID de sesión],A55,tblControl[Estado del control],"Abierto"))</f>
        <v/>
      </c>
      <c r="L55" s="27">
        <f>IF(A55="","",SUMIFS(tblControl[GB usados],tblControl[ID de sesión],A55))</f>
        <v/>
      </c>
      <c r="M55" s="25">
        <f>IF(A55="","",IF(AND(D55&lt;Resumen!$C$6,H55&lt;&gt;"Cerrada",H55&lt;&gt;"Cancelada"),"Sesión pasada sin cerrar",IF(AND(D55&gt;=Resumen!$C$6,D55&lt;=Resumen!$C$6+Resumen!$C$5,H55&lt;&gt;"Cerrada",OR(I55=0,J55=0)),"Revisar asignación",IF(AND(H55="Cerrada",K55&gt;0),"Hay soportes sin devolver",""))))</f>
        <v/>
      </c>
      <c r="N55" s="26" t="n"/>
    </row>
    <row r="56" ht="22" customHeight="1">
      <c r="A56" s="20" t="n"/>
      <c r="B56" s="20" t="n"/>
      <c r="C56" s="20" t="n"/>
      <c r="D56" s="22" t="n"/>
      <c r="E56" s="20" t="n"/>
      <c r="F56" s="20" t="n"/>
      <c r="G56" s="20" t="n"/>
      <c r="H56" s="20" t="n"/>
      <c r="I56" s="23">
        <f>IF(A56="","",COUNTIFS(tblControl[ID de sesión],A56,tblControl[Tipo],"Batería"))</f>
        <v/>
      </c>
      <c r="J56" s="23">
        <f>IF(A56="","",COUNTIFS(tblControl[ID de sesión],A56,tblControl[Tipo],"Tarjeta"))</f>
        <v/>
      </c>
      <c r="K56" s="23">
        <f>IF(A56="","",COUNTIFS(tblControl[ID de sesión],A56,tblControl[Estado del control],"Abierto"))</f>
        <v/>
      </c>
      <c r="L56" s="27">
        <f>IF(A56="","",SUMIFS(tblControl[GB usados],tblControl[ID de sesión],A56))</f>
        <v/>
      </c>
      <c r="M56" s="25">
        <f>IF(A56="","",IF(AND(D56&lt;Resumen!$C$6,H56&lt;&gt;"Cerrada",H56&lt;&gt;"Cancelada"),"Sesión pasada sin cerrar",IF(AND(D56&gt;=Resumen!$C$6,D56&lt;=Resumen!$C$6+Resumen!$C$5,H56&lt;&gt;"Cerrada",OR(I56=0,J56=0)),"Revisar asignación",IF(AND(H56="Cerrada",K56&gt;0),"Hay soportes sin devolver",""))))</f>
        <v/>
      </c>
      <c r="N56" s="26" t="n"/>
    </row>
    <row r="57" ht="22" customHeight="1">
      <c r="A57" s="20" t="n"/>
      <c r="B57" s="20" t="n"/>
      <c r="C57" s="20" t="n"/>
      <c r="D57" s="22" t="n"/>
      <c r="E57" s="20" t="n"/>
      <c r="F57" s="20" t="n"/>
      <c r="G57" s="20" t="n"/>
      <c r="H57" s="20" t="n"/>
      <c r="I57" s="23">
        <f>IF(A57="","",COUNTIFS(tblControl[ID de sesión],A57,tblControl[Tipo],"Batería"))</f>
        <v/>
      </c>
      <c r="J57" s="23">
        <f>IF(A57="","",COUNTIFS(tblControl[ID de sesión],A57,tblControl[Tipo],"Tarjeta"))</f>
        <v/>
      </c>
      <c r="K57" s="23">
        <f>IF(A57="","",COUNTIFS(tblControl[ID de sesión],A57,tblControl[Estado del control],"Abierto"))</f>
        <v/>
      </c>
      <c r="L57" s="27">
        <f>IF(A57="","",SUMIFS(tblControl[GB usados],tblControl[ID de sesión],A57))</f>
        <v/>
      </c>
      <c r="M57" s="25">
        <f>IF(A57="","",IF(AND(D57&lt;Resumen!$C$6,H57&lt;&gt;"Cerrada",H57&lt;&gt;"Cancelada"),"Sesión pasada sin cerrar",IF(AND(D57&gt;=Resumen!$C$6,D57&lt;=Resumen!$C$6+Resumen!$C$5,H57&lt;&gt;"Cerrada",OR(I57=0,J57=0)),"Revisar asignación",IF(AND(H57="Cerrada",K57&gt;0),"Hay soportes sin devolver",""))))</f>
        <v/>
      </c>
      <c r="N57" s="26" t="n"/>
    </row>
    <row r="58" ht="22" customHeight="1">
      <c r="A58" s="20" t="n"/>
      <c r="B58" s="20" t="n"/>
      <c r="C58" s="20" t="n"/>
      <c r="D58" s="22" t="n"/>
      <c r="E58" s="20" t="n"/>
      <c r="F58" s="20" t="n"/>
      <c r="G58" s="20" t="n"/>
      <c r="H58" s="20" t="n"/>
      <c r="I58" s="23">
        <f>IF(A58="","",COUNTIFS(tblControl[ID de sesión],A58,tblControl[Tipo],"Batería"))</f>
        <v/>
      </c>
      <c r="J58" s="23">
        <f>IF(A58="","",COUNTIFS(tblControl[ID de sesión],A58,tblControl[Tipo],"Tarjeta"))</f>
        <v/>
      </c>
      <c r="K58" s="23">
        <f>IF(A58="","",COUNTIFS(tblControl[ID de sesión],A58,tblControl[Estado del control],"Abierto"))</f>
        <v/>
      </c>
      <c r="L58" s="27">
        <f>IF(A58="","",SUMIFS(tblControl[GB usados],tblControl[ID de sesión],A58))</f>
        <v/>
      </c>
      <c r="M58" s="25">
        <f>IF(A58="","",IF(AND(D58&lt;Resumen!$C$6,H58&lt;&gt;"Cerrada",H58&lt;&gt;"Cancelada"),"Sesión pasada sin cerrar",IF(AND(D58&gt;=Resumen!$C$6,D58&lt;=Resumen!$C$6+Resumen!$C$5,H58&lt;&gt;"Cerrada",OR(I58=0,J58=0)),"Revisar asignación",IF(AND(H58="Cerrada",K58&gt;0),"Hay soportes sin devolver",""))))</f>
        <v/>
      </c>
      <c r="N58" s="26" t="n"/>
    </row>
    <row r="59" ht="22" customHeight="1">
      <c r="A59" s="20" t="n"/>
      <c r="B59" s="20" t="n"/>
      <c r="C59" s="20" t="n"/>
      <c r="D59" s="22" t="n"/>
      <c r="E59" s="20" t="n"/>
      <c r="F59" s="20" t="n"/>
      <c r="G59" s="20" t="n"/>
      <c r="H59" s="20" t="n"/>
      <c r="I59" s="23">
        <f>IF(A59="","",COUNTIFS(tblControl[ID de sesión],A59,tblControl[Tipo],"Batería"))</f>
        <v/>
      </c>
      <c r="J59" s="23">
        <f>IF(A59="","",COUNTIFS(tblControl[ID de sesión],A59,tblControl[Tipo],"Tarjeta"))</f>
        <v/>
      </c>
      <c r="K59" s="23">
        <f>IF(A59="","",COUNTIFS(tblControl[ID de sesión],A59,tblControl[Estado del control],"Abierto"))</f>
        <v/>
      </c>
      <c r="L59" s="27">
        <f>IF(A59="","",SUMIFS(tblControl[GB usados],tblControl[ID de sesión],A59))</f>
        <v/>
      </c>
      <c r="M59" s="25">
        <f>IF(A59="","",IF(AND(D59&lt;Resumen!$C$6,H59&lt;&gt;"Cerrada",H59&lt;&gt;"Cancelada"),"Sesión pasada sin cerrar",IF(AND(D59&gt;=Resumen!$C$6,D59&lt;=Resumen!$C$6+Resumen!$C$5,H59&lt;&gt;"Cerrada",OR(I59=0,J59=0)),"Revisar asignación",IF(AND(H59="Cerrada",K59&gt;0),"Hay soportes sin devolver",""))))</f>
        <v/>
      </c>
      <c r="N59" s="26" t="n"/>
    </row>
    <row r="60" ht="22" customHeight="1">
      <c r="A60" s="20" t="n"/>
      <c r="B60" s="20" t="n"/>
      <c r="C60" s="20" t="n"/>
      <c r="D60" s="22" t="n"/>
      <c r="E60" s="20" t="n"/>
      <c r="F60" s="20" t="n"/>
      <c r="G60" s="20" t="n"/>
      <c r="H60" s="20" t="n"/>
      <c r="I60" s="23">
        <f>IF(A60="","",COUNTIFS(tblControl[ID de sesión],A60,tblControl[Tipo],"Batería"))</f>
        <v/>
      </c>
      <c r="J60" s="23">
        <f>IF(A60="","",COUNTIFS(tblControl[ID de sesión],A60,tblControl[Tipo],"Tarjeta"))</f>
        <v/>
      </c>
      <c r="K60" s="23">
        <f>IF(A60="","",COUNTIFS(tblControl[ID de sesión],A60,tblControl[Estado del control],"Abierto"))</f>
        <v/>
      </c>
      <c r="L60" s="27">
        <f>IF(A60="","",SUMIFS(tblControl[GB usados],tblControl[ID de sesión],A60))</f>
        <v/>
      </c>
      <c r="M60" s="25">
        <f>IF(A60="","",IF(AND(D60&lt;Resumen!$C$6,H60&lt;&gt;"Cerrada",H60&lt;&gt;"Cancelada"),"Sesión pasada sin cerrar",IF(AND(D60&gt;=Resumen!$C$6,D60&lt;=Resumen!$C$6+Resumen!$C$5,H60&lt;&gt;"Cerrada",OR(I60=0,J60=0)),"Revisar asignación",IF(AND(H60="Cerrada",K60&gt;0),"Hay soportes sin devolver",""))))</f>
        <v/>
      </c>
      <c r="N60" s="26" t="n"/>
    </row>
    <row r="61" ht="22" customHeight="1">
      <c r="A61" s="20" t="n"/>
      <c r="B61" s="20" t="n"/>
      <c r="C61" s="20" t="n"/>
      <c r="D61" s="22" t="n"/>
      <c r="E61" s="20" t="n"/>
      <c r="F61" s="20" t="n"/>
      <c r="G61" s="20" t="n"/>
      <c r="H61" s="20" t="n"/>
      <c r="I61" s="23">
        <f>IF(A61="","",COUNTIFS(tblControl[ID de sesión],A61,tblControl[Tipo],"Batería"))</f>
        <v/>
      </c>
      <c r="J61" s="23">
        <f>IF(A61="","",COUNTIFS(tblControl[ID de sesión],A61,tblControl[Tipo],"Tarjeta"))</f>
        <v/>
      </c>
      <c r="K61" s="23">
        <f>IF(A61="","",COUNTIFS(tblControl[ID de sesión],A61,tblControl[Estado del control],"Abierto"))</f>
        <v/>
      </c>
      <c r="L61" s="27">
        <f>IF(A61="","",SUMIFS(tblControl[GB usados],tblControl[ID de sesión],A61))</f>
        <v/>
      </c>
      <c r="M61" s="25">
        <f>IF(A61="","",IF(AND(D61&lt;Resumen!$C$6,H61&lt;&gt;"Cerrada",H61&lt;&gt;"Cancelada"),"Sesión pasada sin cerrar",IF(AND(D61&gt;=Resumen!$C$6,D61&lt;=Resumen!$C$6+Resumen!$C$5,H61&lt;&gt;"Cerrada",OR(I61=0,J61=0)),"Revisar asignación",IF(AND(H61="Cerrada",K61&gt;0),"Hay soportes sin devolver",""))))</f>
        <v/>
      </c>
      <c r="N61" s="26" t="n"/>
    </row>
    <row r="62" ht="22" customHeight="1">
      <c r="A62" s="20" t="n"/>
      <c r="B62" s="20" t="n"/>
      <c r="C62" s="20" t="n"/>
      <c r="D62" s="22" t="n"/>
      <c r="E62" s="20" t="n"/>
      <c r="F62" s="20" t="n"/>
      <c r="G62" s="20" t="n"/>
      <c r="H62" s="20" t="n"/>
      <c r="I62" s="23">
        <f>IF(A62="","",COUNTIFS(tblControl[ID de sesión],A62,tblControl[Tipo],"Batería"))</f>
        <v/>
      </c>
      <c r="J62" s="23">
        <f>IF(A62="","",COUNTIFS(tblControl[ID de sesión],A62,tblControl[Tipo],"Tarjeta"))</f>
        <v/>
      </c>
      <c r="K62" s="23">
        <f>IF(A62="","",COUNTIFS(tblControl[ID de sesión],A62,tblControl[Estado del control],"Abierto"))</f>
        <v/>
      </c>
      <c r="L62" s="27">
        <f>IF(A62="","",SUMIFS(tblControl[GB usados],tblControl[ID de sesión],A62))</f>
        <v/>
      </c>
      <c r="M62" s="25">
        <f>IF(A62="","",IF(AND(D62&lt;Resumen!$C$6,H62&lt;&gt;"Cerrada",H62&lt;&gt;"Cancelada"),"Sesión pasada sin cerrar",IF(AND(D62&gt;=Resumen!$C$6,D62&lt;=Resumen!$C$6+Resumen!$C$5,H62&lt;&gt;"Cerrada",OR(I62=0,J62=0)),"Revisar asignación",IF(AND(H62="Cerrada",K62&gt;0),"Hay soportes sin devolver",""))))</f>
        <v/>
      </c>
      <c r="N62" s="26" t="n"/>
    </row>
    <row r="63" ht="22" customHeight="1">
      <c r="A63" s="20" t="n"/>
      <c r="B63" s="20" t="n"/>
      <c r="C63" s="20" t="n"/>
      <c r="D63" s="22" t="n"/>
      <c r="E63" s="20" t="n"/>
      <c r="F63" s="20" t="n"/>
      <c r="G63" s="20" t="n"/>
      <c r="H63" s="20" t="n"/>
      <c r="I63" s="23">
        <f>IF(A63="","",COUNTIFS(tblControl[ID de sesión],A63,tblControl[Tipo],"Batería"))</f>
        <v/>
      </c>
      <c r="J63" s="23">
        <f>IF(A63="","",COUNTIFS(tblControl[ID de sesión],A63,tblControl[Tipo],"Tarjeta"))</f>
        <v/>
      </c>
      <c r="K63" s="23">
        <f>IF(A63="","",COUNTIFS(tblControl[ID de sesión],A63,tblControl[Estado del control],"Abierto"))</f>
        <v/>
      </c>
      <c r="L63" s="27">
        <f>IF(A63="","",SUMIFS(tblControl[GB usados],tblControl[ID de sesión],A63))</f>
        <v/>
      </c>
      <c r="M63" s="25">
        <f>IF(A63="","",IF(AND(D63&lt;Resumen!$C$6,H63&lt;&gt;"Cerrada",H63&lt;&gt;"Cancelada"),"Sesión pasada sin cerrar",IF(AND(D63&gt;=Resumen!$C$6,D63&lt;=Resumen!$C$6+Resumen!$C$5,H63&lt;&gt;"Cerrada",OR(I63=0,J63=0)),"Revisar asignación",IF(AND(H63="Cerrada",K63&gt;0),"Hay soportes sin devolver",""))))</f>
        <v/>
      </c>
      <c r="N63" s="26" t="n"/>
    </row>
    <row r="64" ht="22" customHeight="1">
      <c r="A64" s="20" t="n"/>
      <c r="B64" s="20" t="n"/>
      <c r="C64" s="20" t="n"/>
      <c r="D64" s="22" t="n"/>
      <c r="E64" s="20" t="n"/>
      <c r="F64" s="20" t="n"/>
      <c r="G64" s="20" t="n"/>
      <c r="H64" s="20" t="n"/>
      <c r="I64" s="23">
        <f>IF(A64="","",COUNTIFS(tblControl[ID de sesión],A64,tblControl[Tipo],"Batería"))</f>
        <v/>
      </c>
      <c r="J64" s="23">
        <f>IF(A64="","",COUNTIFS(tblControl[ID de sesión],A64,tblControl[Tipo],"Tarjeta"))</f>
        <v/>
      </c>
      <c r="K64" s="23">
        <f>IF(A64="","",COUNTIFS(tblControl[ID de sesión],A64,tblControl[Estado del control],"Abierto"))</f>
        <v/>
      </c>
      <c r="L64" s="27">
        <f>IF(A64="","",SUMIFS(tblControl[GB usados],tblControl[ID de sesión],A64))</f>
        <v/>
      </c>
      <c r="M64" s="25">
        <f>IF(A64="","",IF(AND(D64&lt;Resumen!$C$6,H64&lt;&gt;"Cerrada",H64&lt;&gt;"Cancelada"),"Sesión pasada sin cerrar",IF(AND(D64&gt;=Resumen!$C$6,D64&lt;=Resumen!$C$6+Resumen!$C$5,H64&lt;&gt;"Cerrada",OR(I64=0,J64=0)),"Revisar asignación",IF(AND(H64="Cerrada",K64&gt;0),"Hay soportes sin devolver",""))))</f>
        <v/>
      </c>
      <c r="N64" s="26" t="n"/>
    </row>
    <row r="65" ht="22" customHeight="1">
      <c r="A65" s="20" t="n"/>
      <c r="B65" s="20" t="n"/>
      <c r="C65" s="20" t="n"/>
      <c r="D65" s="22" t="n"/>
      <c r="E65" s="20" t="n"/>
      <c r="F65" s="20" t="n"/>
      <c r="G65" s="20" t="n"/>
      <c r="H65" s="20" t="n"/>
      <c r="I65" s="23">
        <f>IF(A65="","",COUNTIFS(tblControl[ID de sesión],A65,tblControl[Tipo],"Batería"))</f>
        <v/>
      </c>
      <c r="J65" s="23">
        <f>IF(A65="","",COUNTIFS(tblControl[ID de sesión],A65,tblControl[Tipo],"Tarjeta"))</f>
        <v/>
      </c>
      <c r="K65" s="23">
        <f>IF(A65="","",COUNTIFS(tblControl[ID de sesión],A65,tblControl[Estado del control],"Abierto"))</f>
        <v/>
      </c>
      <c r="L65" s="27">
        <f>IF(A65="","",SUMIFS(tblControl[GB usados],tblControl[ID de sesión],A65))</f>
        <v/>
      </c>
      <c r="M65" s="25">
        <f>IF(A65="","",IF(AND(D65&lt;Resumen!$C$6,H65&lt;&gt;"Cerrada",H65&lt;&gt;"Cancelada"),"Sesión pasada sin cerrar",IF(AND(D65&gt;=Resumen!$C$6,D65&lt;=Resumen!$C$6+Resumen!$C$5,H65&lt;&gt;"Cerrada",OR(I65=0,J65=0)),"Revisar asignación",IF(AND(H65="Cerrada",K65&gt;0),"Hay soportes sin devolver",""))))</f>
        <v/>
      </c>
      <c r="N65" s="26" t="n"/>
    </row>
    <row r="66" ht="22" customHeight="1">
      <c r="A66" s="20" t="n"/>
      <c r="B66" s="20" t="n"/>
      <c r="C66" s="20" t="n"/>
      <c r="D66" s="22" t="n"/>
      <c r="E66" s="20" t="n"/>
      <c r="F66" s="20" t="n"/>
      <c r="G66" s="20" t="n"/>
      <c r="H66" s="20" t="n"/>
      <c r="I66" s="23">
        <f>IF(A66="","",COUNTIFS(tblControl[ID de sesión],A66,tblControl[Tipo],"Batería"))</f>
        <v/>
      </c>
      <c r="J66" s="23">
        <f>IF(A66="","",COUNTIFS(tblControl[ID de sesión],A66,tblControl[Tipo],"Tarjeta"))</f>
        <v/>
      </c>
      <c r="K66" s="23">
        <f>IF(A66="","",COUNTIFS(tblControl[ID de sesión],A66,tblControl[Estado del control],"Abierto"))</f>
        <v/>
      </c>
      <c r="L66" s="27">
        <f>IF(A66="","",SUMIFS(tblControl[GB usados],tblControl[ID de sesión],A66))</f>
        <v/>
      </c>
      <c r="M66" s="25">
        <f>IF(A66="","",IF(AND(D66&lt;Resumen!$C$6,H66&lt;&gt;"Cerrada",H66&lt;&gt;"Cancelada"),"Sesión pasada sin cerrar",IF(AND(D66&gt;=Resumen!$C$6,D66&lt;=Resumen!$C$6+Resumen!$C$5,H66&lt;&gt;"Cerrada",OR(I66=0,J66=0)),"Revisar asignación",IF(AND(H66="Cerrada",K66&gt;0),"Hay soportes sin devolver",""))))</f>
        <v/>
      </c>
      <c r="N66" s="26" t="n"/>
    </row>
    <row r="67" ht="22" customHeight="1">
      <c r="A67" s="20" t="n"/>
      <c r="B67" s="20" t="n"/>
      <c r="C67" s="20" t="n"/>
      <c r="D67" s="22" t="n"/>
      <c r="E67" s="20" t="n"/>
      <c r="F67" s="20" t="n"/>
      <c r="G67" s="20" t="n"/>
      <c r="H67" s="20" t="n"/>
      <c r="I67" s="23">
        <f>IF(A67="","",COUNTIFS(tblControl[ID de sesión],A67,tblControl[Tipo],"Batería"))</f>
        <v/>
      </c>
      <c r="J67" s="23">
        <f>IF(A67="","",COUNTIFS(tblControl[ID de sesión],A67,tblControl[Tipo],"Tarjeta"))</f>
        <v/>
      </c>
      <c r="K67" s="23">
        <f>IF(A67="","",COUNTIFS(tblControl[ID de sesión],A67,tblControl[Estado del control],"Abierto"))</f>
        <v/>
      </c>
      <c r="L67" s="27">
        <f>IF(A67="","",SUMIFS(tblControl[GB usados],tblControl[ID de sesión],A67))</f>
        <v/>
      </c>
      <c r="M67" s="25">
        <f>IF(A67="","",IF(AND(D67&lt;Resumen!$C$6,H67&lt;&gt;"Cerrada",H67&lt;&gt;"Cancelada"),"Sesión pasada sin cerrar",IF(AND(D67&gt;=Resumen!$C$6,D67&lt;=Resumen!$C$6+Resumen!$C$5,H67&lt;&gt;"Cerrada",OR(I67=0,J67=0)),"Revisar asignación",IF(AND(H67="Cerrada",K67&gt;0),"Hay soportes sin devolver",""))))</f>
        <v/>
      </c>
      <c r="N67" s="26" t="n"/>
    </row>
    <row r="68" ht="22" customHeight="1">
      <c r="A68" s="20" t="n"/>
      <c r="B68" s="20" t="n"/>
      <c r="C68" s="20" t="n"/>
      <c r="D68" s="22" t="n"/>
      <c r="E68" s="20" t="n"/>
      <c r="F68" s="20" t="n"/>
      <c r="G68" s="20" t="n"/>
      <c r="H68" s="20" t="n"/>
      <c r="I68" s="23">
        <f>IF(A68="","",COUNTIFS(tblControl[ID de sesión],A68,tblControl[Tipo],"Batería"))</f>
        <v/>
      </c>
      <c r="J68" s="23">
        <f>IF(A68="","",COUNTIFS(tblControl[ID de sesión],A68,tblControl[Tipo],"Tarjeta"))</f>
        <v/>
      </c>
      <c r="K68" s="23">
        <f>IF(A68="","",COUNTIFS(tblControl[ID de sesión],A68,tblControl[Estado del control],"Abierto"))</f>
        <v/>
      </c>
      <c r="L68" s="27">
        <f>IF(A68="","",SUMIFS(tblControl[GB usados],tblControl[ID de sesión],A68))</f>
        <v/>
      </c>
      <c r="M68" s="25">
        <f>IF(A68="","",IF(AND(D68&lt;Resumen!$C$6,H68&lt;&gt;"Cerrada",H68&lt;&gt;"Cancelada"),"Sesión pasada sin cerrar",IF(AND(D68&gt;=Resumen!$C$6,D68&lt;=Resumen!$C$6+Resumen!$C$5,H68&lt;&gt;"Cerrada",OR(I68=0,J68=0)),"Revisar asignación",IF(AND(H68="Cerrada",K68&gt;0),"Hay soportes sin devolver",""))))</f>
        <v/>
      </c>
      <c r="N68" s="26" t="n"/>
    </row>
    <row r="69" ht="22" customHeight="1">
      <c r="A69" s="20" t="n"/>
      <c r="B69" s="20" t="n"/>
      <c r="C69" s="20" t="n"/>
      <c r="D69" s="22" t="n"/>
      <c r="E69" s="20" t="n"/>
      <c r="F69" s="20" t="n"/>
      <c r="G69" s="20" t="n"/>
      <c r="H69" s="20" t="n"/>
      <c r="I69" s="23">
        <f>IF(A69="","",COUNTIFS(tblControl[ID de sesión],A69,tblControl[Tipo],"Batería"))</f>
        <v/>
      </c>
      <c r="J69" s="23">
        <f>IF(A69="","",COUNTIFS(tblControl[ID de sesión],A69,tblControl[Tipo],"Tarjeta"))</f>
        <v/>
      </c>
      <c r="K69" s="23">
        <f>IF(A69="","",COUNTIFS(tblControl[ID de sesión],A69,tblControl[Estado del control],"Abierto"))</f>
        <v/>
      </c>
      <c r="L69" s="27">
        <f>IF(A69="","",SUMIFS(tblControl[GB usados],tblControl[ID de sesión],A69))</f>
        <v/>
      </c>
      <c r="M69" s="25">
        <f>IF(A69="","",IF(AND(D69&lt;Resumen!$C$6,H69&lt;&gt;"Cerrada",H69&lt;&gt;"Cancelada"),"Sesión pasada sin cerrar",IF(AND(D69&gt;=Resumen!$C$6,D69&lt;=Resumen!$C$6+Resumen!$C$5,H69&lt;&gt;"Cerrada",OR(I69=0,J69=0)),"Revisar asignación",IF(AND(H69="Cerrada",K69&gt;0),"Hay soportes sin devolver",""))))</f>
        <v/>
      </c>
      <c r="N69" s="26" t="n"/>
    </row>
    <row r="70" ht="22" customHeight="1">
      <c r="A70" s="20" t="n"/>
      <c r="B70" s="20" t="n"/>
      <c r="C70" s="20" t="n"/>
      <c r="D70" s="22" t="n"/>
      <c r="E70" s="20" t="n"/>
      <c r="F70" s="20" t="n"/>
      <c r="G70" s="20" t="n"/>
      <c r="H70" s="20" t="n"/>
      <c r="I70" s="23">
        <f>IF(A70="","",COUNTIFS(tblControl[ID de sesión],A70,tblControl[Tipo],"Batería"))</f>
        <v/>
      </c>
      <c r="J70" s="23">
        <f>IF(A70="","",COUNTIFS(tblControl[ID de sesión],A70,tblControl[Tipo],"Tarjeta"))</f>
        <v/>
      </c>
      <c r="K70" s="23">
        <f>IF(A70="","",COUNTIFS(tblControl[ID de sesión],A70,tblControl[Estado del control],"Abierto"))</f>
        <v/>
      </c>
      <c r="L70" s="27">
        <f>IF(A70="","",SUMIFS(tblControl[GB usados],tblControl[ID de sesión],A70))</f>
        <v/>
      </c>
      <c r="M70" s="25">
        <f>IF(A70="","",IF(AND(D70&lt;Resumen!$C$6,H70&lt;&gt;"Cerrada",H70&lt;&gt;"Cancelada"),"Sesión pasada sin cerrar",IF(AND(D70&gt;=Resumen!$C$6,D70&lt;=Resumen!$C$6+Resumen!$C$5,H70&lt;&gt;"Cerrada",OR(I70=0,J70=0)),"Revisar asignación",IF(AND(H70="Cerrada",K70&gt;0),"Hay soportes sin devolver",""))))</f>
        <v/>
      </c>
      <c r="N70" s="26" t="n"/>
    </row>
    <row r="71" ht="22" customHeight="1">
      <c r="A71" s="20" t="n"/>
      <c r="B71" s="20" t="n"/>
      <c r="C71" s="20" t="n"/>
      <c r="D71" s="22" t="n"/>
      <c r="E71" s="20" t="n"/>
      <c r="F71" s="20" t="n"/>
      <c r="G71" s="20" t="n"/>
      <c r="H71" s="20" t="n"/>
      <c r="I71" s="23">
        <f>IF(A71="","",COUNTIFS(tblControl[ID de sesión],A71,tblControl[Tipo],"Batería"))</f>
        <v/>
      </c>
      <c r="J71" s="23">
        <f>IF(A71="","",COUNTIFS(tblControl[ID de sesión],A71,tblControl[Tipo],"Tarjeta"))</f>
        <v/>
      </c>
      <c r="K71" s="23">
        <f>IF(A71="","",COUNTIFS(tblControl[ID de sesión],A71,tblControl[Estado del control],"Abierto"))</f>
        <v/>
      </c>
      <c r="L71" s="27">
        <f>IF(A71="","",SUMIFS(tblControl[GB usados],tblControl[ID de sesión],A71))</f>
        <v/>
      </c>
      <c r="M71" s="25">
        <f>IF(A71="","",IF(AND(D71&lt;Resumen!$C$6,H71&lt;&gt;"Cerrada",H71&lt;&gt;"Cancelada"),"Sesión pasada sin cerrar",IF(AND(D71&gt;=Resumen!$C$6,D71&lt;=Resumen!$C$6+Resumen!$C$5,H71&lt;&gt;"Cerrada",OR(I71=0,J71=0)),"Revisar asignación",IF(AND(H71="Cerrada",K71&gt;0),"Hay soportes sin devolver",""))))</f>
        <v/>
      </c>
      <c r="N71" s="26" t="n"/>
    </row>
    <row r="72" ht="22" customHeight="1">
      <c r="A72" s="20" t="n"/>
      <c r="B72" s="20" t="n"/>
      <c r="C72" s="20" t="n"/>
      <c r="D72" s="22" t="n"/>
      <c r="E72" s="20" t="n"/>
      <c r="F72" s="20" t="n"/>
      <c r="G72" s="20" t="n"/>
      <c r="H72" s="20" t="n"/>
      <c r="I72" s="23">
        <f>IF(A72="","",COUNTIFS(tblControl[ID de sesión],A72,tblControl[Tipo],"Batería"))</f>
        <v/>
      </c>
      <c r="J72" s="23">
        <f>IF(A72="","",COUNTIFS(tblControl[ID de sesión],A72,tblControl[Tipo],"Tarjeta"))</f>
        <v/>
      </c>
      <c r="K72" s="23">
        <f>IF(A72="","",COUNTIFS(tblControl[ID de sesión],A72,tblControl[Estado del control],"Abierto"))</f>
        <v/>
      </c>
      <c r="L72" s="27">
        <f>IF(A72="","",SUMIFS(tblControl[GB usados],tblControl[ID de sesión],A72))</f>
        <v/>
      </c>
      <c r="M72" s="25">
        <f>IF(A72="","",IF(AND(D72&lt;Resumen!$C$6,H72&lt;&gt;"Cerrada",H72&lt;&gt;"Cancelada"),"Sesión pasada sin cerrar",IF(AND(D72&gt;=Resumen!$C$6,D72&lt;=Resumen!$C$6+Resumen!$C$5,H72&lt;&gt;"Cerrada",OR(I72=0,J72=0)),"Revisar asignación",IF(AND(H72="Cerrada",K72&gt;0),"Hay soportes sin devolver",""))))</f>
        <v/>
      </c>
      <c r="N72" s="26" t="n"/>
    </row>
    <row r="73" ht="22" customHeight="1">
      <c r="A73" s="20" t="n"/>
      <c r="B73" s="20" t="n"/>
      <c r="C73" s="20" t="n"/>
      <c r="D73" s="22" t="n"/>
      <c r="E73" s="20" t="n"/>
      <c r="F73" s="20" t="n"/>
      <c r="G73" s="20" t="n"/>
      <c r="H73" s="20" t="n"/>
      <c r="I73" s="23">
        <f>IF(A73="","",COUNTIFS(tblControl[ID de sesión],A73,tblControl[Tipo],"Batería"))</f>
        <v/>
      </c>
      <c r="J73" s="23">
        <f>IF(A73="","",COUNTIFS(tblControl[ID de sesión],A73,tblControl[Tipo],"Tarjeta"))</f>
        <v/>
      </c>
      <c r="K73" s="23">
        <f>IF(A73="","",COUNTIFS(tblControl[ID de sesión],A73,tblControl[Estado del control],"Abierto"))</f>
        <v/>
      </c>
      <c r="L73" s="27">
        <f>IF(A73="","",SUMIFS(tblControl[GB usados],tblControl[ID de sesión],A73))</f>
        <v/>
      </c>
      <c r="M73" s="25">
        <f>IF(A73="","",IF(AND(D73&lt;Resumen!$C$6,H73&lt;&gt;"Cerrada",H73&lt;&gt;"Cancelada"),"Sesión pasada sin cerrar",IF(AND(D73&gt;=Resumen!$C$6,D73&lt;=Resumen!$C$6+Resumen!$C$5,H73&lt;&gt;"Cerrada",OR(I73=0,J73=0)),"Revisar asignación",IF(AND(H73="Cerrada",K73&gt;0),"Hay soportes sin devolver",""))))</f>
        <v/>
      </c>
      <c r="N73" s="26" t="n"/>
    </row>
    <row r="74" ht="22" customHeight="1">
      <c r="A74" s="20" t="n"/>
      <c r="B74" s="20" t="n"/>
      <c r="C74" s="20" t="n"/>
      <c r="D74" s="22" t="n"/>
      <c r="E74" s="20" t="n"/>
      <c r="F74" s="20" t="n"/>
      <c r="G74" s="20" t="n"/>
      <c r="H74" s="20" t="n"/>
      <c r="I74" s="23">
        <f>IF(A74="","",COUNTIFS(tblControl[ID de sesión],A74,tblControl[Tipo],"Batería"))</f>
        <v/>
      </c>
      <c r="J74" s="23">
        <f>IF(A74="","",COUNTIFS(tblControl[ID de sesión],A74,tblControl[Tipo],"Tarjeta"))</f>
        <v/>
      </c>
      <c r="K74" s="23">
        <f>IF(A74="","",COUNTIFS(tblControl[ID de sesión],A74,tblControl[Estado del control],"Abierto"))</f>
        <v/>
      </c>
      <c r="L74" s="27">
        <f>IF(A74="","",SUMIFS(tblControl[GB usados],tblControl[ID de sesión],A74))</f>
        <v/>
      </c>
      <c r="M74" s="25">
        <f>IF(A74="","",IF(AND(D74&lt;Resumen!$C$6,H74&lt;&gt;"Cerrada",H74&lt;&gt;"Cancelada"),"Sesión pasada sin cerrar",IF(AND(D74&gt;=Resumen!$C$6,D74&lt;=Resumen!$C$6+Resumen!$C$5,H74&lt;&gt;"Cerrada",OR(I74=0,J74=0)),"Revisar asignación",IF(AND(H74="Cerrada",K74&gt;0),"Hay soportes sin devolver",""))))</f>
        <v/>
      </c>
      <c r="N74" s="26" t="n"/>
    </row>
    <row r="75" ht="22" customHeight="1">
      <c r="A75" s="20" t="n"/>
      <c r="B75" s="20" t="n"/>
      <c r="C75" s="20" t="n"/>
      <c r="D75" s="22" t="n"/>
      <c r="E75" s="20" t="n"/>
      <c r="F75" s="20" t="n"/>
      <c r="G75" s="20" t="n"/>
      <c r="H75" s="20" t="n"/>
      <c r="I75" s="23">
        <f>IF(A75="","",COUNTIFS(tblControl[ID de sesión],A75,tblControl[Tipo],"Batería"))</f>
        <v/>
      </c>
      <c r="J75" s="23">
        <f>IF(A75="","",COUNTIFS(tblControl[ID de sesión],A75,tblControl[Tipo],"Tarjeta"))</f>
        <v/>
      </c>
      <c r="K75" s="23">
        <f>IF(A75="","",COUNTIFS(tblControl[ID de sesión],A75,tblControl[Estado del control],"Abierto"))</f>
        <v/>
      </c>
      <c r="L75" s="27">
        <f>IF(A75="","",SUMIFS(tblControl[GB usados],tblControl[ID de sesión],A75))</f>
        <v/>
      </c>
      <c r="M75" s="25">
        <f>IF(A75="","",IF(AND(D75&lt;Resumen!$C$6,H75&lt;&gt;"Cerrada",H75&lt;&gt;"Cancelada"),"Sesión pasada sin cerrar",IF(AND(D75&gt;=Resumen!$C$6,D75&lt;=Resumen!$C$6+Resumen!$C$5,H75&lt;&gt;"Cerrada",OR(I75=0,J75=0)),"Revisar asignación",IF(AND(H75="Cerrada",K75&gt;0),"Hay soportes sin devolver",""))))</f>
        <v/>
      </c>
      <c r="N75" s="26" t="n"/>
    </row>
    <row r="76" ht="22" customHeight="1">
      <c r="A76" s="20" t="n"/>
      <c r="B76" s="20" t="n"/>
      <c r="C76" s="20" t="n"/>
      <c r="D76" s="22" t="n"/>
      <c r="E76" s="20" t="n"/>
      <c r="F76" s="20" t="n"/>
      <c r="G76" s="20" t="n"/>
      <c r="H76" s="20" t="n"/>
      <c r="I76" s="23">
        <f>IF(A76="","",COUNTIFS(tblControl[ID de sesión],A76,tblControl[Tipo],"Batería"))</f>
        <v/>
      </c>
      <c r="J76" s="23">
        <f>IF(A76="","",COUNTIFS(tblControl[ID de sesión],A76,tblControl[Tipo],"Tarjeta"))</f>
        <v/>
      </c>
      <c r="K76" s="23">
        <f>IF(A76="","",COUNTIFS(tblControl[ID de sesión],A76,tblControl[Estado del control],"Abierto"))</f>
        <v/>
      </c>
      <c r="L76" s="27">
        <f>IF(A76="","",SUMIFS(tblControl[GB usados],tblControl[ID de sesión],A76))</f>
        <v/>
      </c>
      <c r="M76" s="25">
        <f>IF(A76="","",IF(AND(D76&lt;Resumen!$C$6,H76&lt;&gt;"Cerrada",H76&lt;&gt;"Cancelada"),"Sesión pasada sin cerrar",IF(AND(D76&gt;=Resumen!$C$6,D76&lt;=Resumen!$C$6+Resumen!$C$5,H76&lt;&gt;"Cerrada",OR(I76=0,J76=0)),"Revisar asignación",IF(AND(H76="Cerrada",K76&gt;0),"Hay soportes sin devolver",""))))</f>
        <v/>
      </c>
      <c r="N76" s="26" t="n"/>
    </row>
    <row r="77" ht="22" customHeight="1">
      <c r="A77" s="20" t="n"/>
      <c r="B77" s="20" t="n"/>
      <c r="C77" s="20" t="n"/>
      <c r="D77" s="22" t="n"/>
      <c r="E77" s="20" t="n"/>
      <c r="F77" s="20" t="n"/>
      <c r="G77" s="20" t="n"/>
      <c r="H77" s="20" t="n"/>
      <c r="I77" s="23">
        <f>IF(A77="","",COUNTIFS(tblControl[ID de sesión],A77,tblControl[Tipo],"Batería"))</f>
        <v/>
      </c>
      <c r="J77" s="23">
        <f>IF(A77="","",COUNTIFS(tblControl[ID de sesión],A77,tblControl[Tipo],"Tarjeta"))</f>
        <v/>
      </c>
      <c r="K77" s="23">
        <f>IF(A77="","",COUNTIFS(tblControl[ID de sesión],A77,tblControl[Estado del control],"Abierto"))</f>
        <v/>
      </c>
      <c r="L77" s="27">
        <f>IF(A77="","",SUMIFS(tblControl[GB usados],tblControl[ID de sesión],A77))</f>
        <v/>
      </c>
      <c r="M77" s="25">
        <f>IF(A77="","",IF(AND(D77&lt;Resumen!$C$6,H77&lt;&gt;"Cerrada",H77&lt;&gt;"Cancelada"),"Sesión pasada sin cerrar",IF(AND(D77&gt;=Resumen!$C$6,D77&lt;=Resumen!$C$6+Resumen!$C$5,H77&lt;&gt;"Cerrada",OR(I77=0,J77=0)),"Revisar asignación",IF(AND(H77="Cerrada",K77&gt;0),"Hay soportes sin devolver",""))))</f>
        <v/>
      </c>
      <c r="N77" s="26" t="n"/>
    </row>
    <row r="78" ht="22" customHeight="1">
      <c r="A78" s="20" t="n"/>
      <c r="B78" s="20" t="n"/>
      <c r="C78" s="20" t="n"/>
      <c r="D78" s="22" t="n"/>
      <c r="E78" s="20" t="n"/>
      <c r="F78" s="20" t="n"/>
      <c r="G78" s="20" t="n"/>
      <c r="H78" s="20" t="n"/>
      <c r="I78" s="23">
        <f>IF(A78="","",COUNTIFS(tblControl[ID de sesión],A78,tblControl[Tipo],"Batería"))</f>
        <v/>
      </c>
      <c r="J78" s="23">
        <f>IF(A78="","",COUNTIFS(tblControl[ID de sesión],A78,tblControl[Tipo],"Tarjeta"))</f>
        <v/>
      </c>
      <c r="K78" s="23">
        <f>IF(A78="","",COUNTIFS(tblControl[ID de sesión],A78,tblControl[Estado del control],"Abierto"))</f>
        <v/>
      </c>
      <c r="L78" s="27">
        <f>IF(A78="","",SUMIFS(tblControl[GB usados],tblControl[ID de sesión],A78))</f>
        <v/>
      </c>
      <c r="M78" s="25">
        <f>IF(A78="","",IF(AND(D78&lt;Resumen!$C$6,H78&lt;&gt;"Cerrada",H78&lt;&gt;"Cancelada"),"Sesión pasada sin cerrar",IF(AND(D78&gt;=Resumen!$C$6,D78&lt;=Resumen!$C$6+Resumen!$C$5,H78&lt;&gt;"Cerrada",OR(I78=0,J78=0)),"Revisar asignación",IF(AND(H78="Cerrada",K78&gt;0),"Hay soportes sin devolver",""))))</f>
        <v/>
      </c>
      <c r="N78" s="26" t="n"/>
    </row>
    <row r="79" ht="22" customHeight="1">
      <c r="A79" s="20" t="n"/>
      <c r="B79" s="20" t="n"/>
      <c r="C79" s="20" t="n"/>
      <c r="D79" s="22" t="n"/>
      <c r="E79" s="20" t="n"/>
      <c r="F79" s="20" t="n"/>
      <c r="G79" s="20" t="n"/>
      <c r="H79" s="20" t="n"/>
      <c r="I79" s="23">
        <f>IF(A79="","",COUNTIFS(tblControl[ID de sesión],A79,tblControl[Tipo],"Batería"))</f>
        <v/>
      </c>
      <c r="J79" s="23">
        <f>IF(A79="","",COUNTIFS(tblControl[ID de sesión],A79,tblControl[Tipo],"Tarjeta"))</f>
        <v/>
      </c>
      <c r="K79" s="23">
        <f>IF(A79="","",COUNTIFS(tblControl[ID de sesión],A79,tblControl[Estado del control],"Abierto"))</f>
        <v/>
      </c>
      <c r="L79" s="27">
        <f>IF(A79="","",SUMIFS(tblControl[GB usados],tblControl[ID de sesión],A79))</f>
        <v/>
      </c>
      <c r="M79" s="25">
        <f>IF(A79="","",IF(AND(D79&lt;Resumen!$C$6,H79&lt;&gt;"Cerrada",H79&lt;&gt;"Cancelada"),"Sesión pasada sin cerrar",IF(AND(D79&gt;=Resumen!$C$6,D79&lt;=Resumen!$C$6+Resumen!$C$5,H79&lt;&gt;"Cerrada",OR(I79=0,J79=0)),"Revisar asignación",IF(AND(H79="Cerrada",K79&gt;0),"Hay soportes sin devolver",""))))</f>
        <v/>
      </c>
      <c r="N79" s="26" t="n"/>
    </row>
    <row r="80" ht="22" customHeight="1">
      <c r="A80" s="20" t="n"/>
      <c r="B80" s="20" t="n"/>
      <c r="C80" s="20" t="n"/>
      <c r="D80" s="22" t="n"/>
      <c r="E80" s="20" t="n"/>
      <c r="F80" s="20" t="n"/>
      <c r="G80" s="20" t="n"/>
      <c r="H80" s="20" t="n"/>
      <c r="I80" s="23">
        <f>IF(A80="","",COUNTIFS(tblControl[ID de sesión],A80,tblControl[Tipo],"Batería"))</f>
        <v/>
      </c>
      <c r="J80" s="23">
        <f>IF(A80="","",COUNTIFS(tblControl[ID de sesión],A80,tblControl[Tipo],"Tarjeta"))</f>
        <v/>
      </c>
      <c r="K80" s="23">
        <f>IF(A80="","",COUNTIFS(tblControl[ID de sesión],A80,tblControl[Estado del control],"Abierto"))</f>
        <v/>
      </c>
      <c r="L80" s="27">
        <f>IF(A80="","",SUMIFS(tblControl[GB usados],tblControl[ID de sesión],A80))</f>
        <v/>
      </c>
      <c r="M80" s="25">
        <f>IF(A80="","",IF(AND(D80&lt;Resumen!$C$6,H80&lt;&gt;"Cerrada",H80&lt;&gt;"Cancelada"),"Sesión pasada sin cerrar",IF(AND(D80&gt;=Resumen!$C$6,D80&lt;=Resumen!$C$6+Resumen!$C$5,H80&lt;&gt;"Cerrada",OR(I80=0,J80=0)),"Revisar asignación",IF(AND(H80="Cerrada",K80&gt;0),"Hay soportes sin devolver",""))))</f>
        <v/>
      </c>
      <c r="N80" s="26" t="n"/>
    </row>
    <row r="81" ht="22" customHeight="1">
      <c r="A81" s="20" t="n"/>
      <c r="B81" s="20" t="n"/>
      <c r="C81" s="20" t="n"/>
      <c r="D81" s="22" t="n"/>
      <c r="E81" s="20" t="n"/>
      <c r="F81" s="20" t="n"/>
      <c r="G81" s="20" t="n"/>
      <c r="H81" s="20" t="n"/>
      <c r="I81" s="23">
        <f>IF(A81="","",COUNTIFS(tblControl[ID de sesión],A81,tblControl[Tipo],"Batería"))</f>
        <v/>
      </c>
      <c r="J81" s="23">
        <f>IF(A81="","",COUNTIFS(tblControl[ID de sesión],A81,tblControl[Tipo],"Tarjeta"))</f>
        <v/>
      </c>
      <c r="K81" s="23">
        <f>IF(A81="","",COUNTIFS(tblControl[ID de sesión],A81,tblControl[Estado del control],"Abierto"))</f>
        <v/>
      </c>
      <c r="L81" s="27">
        <f>IF(A81="","",SUMIFS(tblControl[GB usados],tblControl[ID de sesión],A81))</f>
        <v/>
      </c>
      <c r="M81" s="25">
        <f>IF(A81="","",IF(AND(D81&lt;Resumen!$C$6,H81&lt;&gt;"Cerrada",H81&lt;&gt;"Cancelada"),"Sesión pasada sin cerrar",IF(AND(D81&gt;=Resumen!$C$6,D81&lt;=Resumen!$C$6+Resumen!$C$5,H81&lt;&gt;"Cerrada",OR(I81=0,J81=0)),"Revisar asignación",IF(AND(H81="Cerrada",K81&gt;0),"Hay soportes sin devolver",""))))</f>
        <v/>
      </c>
      <c r="N81" s="26" t="n"/>
    </row>
    <row r="82" ht="22" customHeight="1">
      <c r="A82" s="20" t="n"/>
      <c r="B82" s="20" t="n"/>
      <c r="C82" s="20" t="n"/>
      <c r="D82" s="22" t="n"/>
      <c r="E82" s="20" t="n"/>
      <c r="F82" s="20" t="n"/>
      <c r="G82" s="20" t="n"/>
      <c r="H82" s="20" t="n"/>
      <c r="I82" s="23">
        <f>IF(A82="","",COUNTIFS(tblControl[ID de sesión],A82,tblControl[Tipo],"Batería"))</f>
        <v/>
      </c>
      <c r="J82" s="23">
        <f>IF(A82="","",COUNTIFS(tblControl[ID de sesión],A82,tblControl[Tipo],"Tarjeta"))</f>
        <v/>
      </c>
      <c r="K82" s="23">
        <f>IF(A82="","",COUNTIFS(tblControl[ID de sesión],A82,tblControl[Estado del control],"Abierto"))</f>
        <v/>
      </c>
      <c r="L82" s="27">
        <f>IF(A82="","",SUMIFS(tblControl[GB usados],tblControl[ID de sesión],A82))</f>
        <v/>
      </c>
      <c r="M82" s="25">
        <f>IF(A82="","",IF(AND(D82&lt;Resumen!$C$6,H82&lt;&gt;"Cerrada",H82&lt;&gt;"Cancelada"),"Sesión pasada sin cerrar",IF(AND(D82&gt;=Resumen!$C$6,D82&lt;=Resumen!$C$6+Resumen!$C$5,H82&lt;&gt;"Cerrada",OR(I82=0,J82=0)),"Revisar asignación",IF(AND(H82="Cerrada",K82&gt;0),"Hay soportes sin devolver",""))))</f>
        <v/>
      </c>
      <c r="N82" s="26" t="n"/>
    </row>
    <row r="83" ht="22" customHeight="1">
      <c r="A83" s="20" t="n"/>
      <c r="B83" s="20" t="n"/>
      <c r="C83" s="20" t="n"/>
      <c r="D83" s="22" t="n"/>
      <c r="E83" s="20" t="n"/>
      <c r="F83" s="20" t="n"/>
      <c r="G83" s="20" t="n"/>
      <c r="H83" s="20" t="n"/>
      <c r="I83" s="23">
        <f>IF(A83="","",COUNTIFS(tblControl[ID de sesión],A83,tblControl[Tipo],"Batería"))</f>
        <v/>
      </c>
      <c r="J83" s="23">
        <f>IF(A83="","",COUNTIFS(tblControl[ID de sesión],A83,tblControl[Tipo],"Tarjeta"))</f>
        <v/>
      </c>
      <c r="K83" s="23">
        <f>IF(A83="","",COUNTIFS(tblControl[ID de sesión],A83,tblControl[Estado del control],"Abierto"))</f>
        <v/>
      </c>
      <c r="L83" s="27">
        <f>IF(A83="","",SUMIFS(tblControl[GB usados],tblControl[ID de sesión],A83))</f>
        <v/>
      </c>
      <c r="M83" s="25">
        <f>IF(A83="","",IF(AND(D83&lt;Resumen!$C$6,H83&lt;&gt;"Cerrada",H83&lt;&gt;"Cancelada"),"Sesión pasada sin cerrar",IF(AND(D83&gt;=Resumen!$C$6,D83&lt;=Resumen!$C$6+Resumen!$C$5,H83&lt;&gt;"Cerrada",OR(I83=0,J83=0)),"Revisar asignación",IF(AND(H83="Cerrada",K83&gt;0),"Hay soportes sin devolver",""))))</f>
        <v/>
      </c>
      <c r="N83" s="26" t="n"/>
    </row>
    <row r="84" ht="22" customHeight="1">
      <c r="A84" s="20" t="n"/>
      <c r="B84" s="20" t="n"/>
      <c r="C84" s="20" t="n"/>
      <c r="D84" s="22" t="n"/>
      <c r="E84" s="20" t="n"/>
      <c r="F84" s="20" t="n"/>
      <c r="G84" s="20" t="n"/>
      <c r="H84" s="20" t="n"/>
      <c r="I84" s="23">
        <f>IF(A84="","",COUNTIFS(tblControl[ID de sesión],A84,tblControl[Tipo],"Batería"))</f>
        <v/>
      </c>
      <c r="J84" s="23">
        <f>IF(A84="","",COUNTIFS(tblControl[ID de sesión],A84,tblControl[Tipo],"Tarjeta"))</f>
        <v/>
      </c>
      <c r="K84" s="23">
        <f>IF(A84="","",COUNTIFS(tblControl[ID de sesión],A84,tblControl[Estado del control],"Abierto"))</f>
        <v/>
      </c>
      <c r="L84" s="27">
        <f>IF(A84="","",SUMIFS(tblControl[GB usados],tblControl[ID de sesión],A84))</f>
        <v/>
      </c>
      <c r="M84" s="25">
        <f>IF(A84="","",IF(AND(D84&lt;Resumen!$C$6,H84&lt;&gt;"Cerrada",H84&lt;&gt;"Cancelada"),"Sesión pasada sin cerrar",IF(AND(D84&gt;=Resumen!$C$6,D84&lt;=Resumen!$C$6+Resumen!$C$5,H84&lt;&gt;"Cerrada",OR(I84=0,J84=0)),"Revisar asignación",IF(AND(H84="Cerrada",K84&gt;0),"Hay soportes sin devolver",""))))</f>
        <v/>
      </c>
      <c r="N84" s="26" t="n"/>
    </row>
    <row r="85" ht="22" customHeight="1">
      <c r="A85" s="20" t="n"/>
      <c r="B85" s="20" t="n"/>
      <c r="C85" s="20" t="n"/>
      <c r="D85" s="22" t="n"/>
      <c r="E85" s="20" t="n"/>
      <c r="F85" s="20" t="n"/>
      <c r="G85" s="20" t="n"/>
      <c r="H85" s="20" t="n"/>
      <c r="I85" s="23">
        <f>IF(A85="","",COUNTIFS(tblControl[ID de sesión],A85,tblControl[Tipo],"Batería"))</f>
        <v/>
      </c>
      <c r="J85" s="23">
        <f>IF(A85="","",COUNTIFS(tblControl[ID de sesión],A85,tblControl[Tipo],"Tarjeta"))</f>
        <v/>
      </c>
      <c r="K85" s="23">
        <f>IF(A85="","",COUNTIFS(tblControl[ID de sesión],A85,tblControl[Estado del control],"Abierto"))</f>
        <v/>
      </c>
      <c r="L85" s="27">
        <f>IF(A85="","",SUMIFS(tblControl[GB usados],tblControl[ID de sesión],A85))</f>
        <v/>
      </c>
      <c r="M85" s="25">
        <f>IF(A85="","",IF(AND(D85&lt;Resumen!$C$6,H85&lt;&gt;"Cerrada",H85&lt;&gt;"Cancelada"),"Sesión pasada sin cerrar",IF(AND(D85&gt;=Resumen!$C$6,D85&lt;=Resumen!$C$6+Resumen!$C$5,H85&lt;&gt;"Cerrada",OR(I85=0,J85=0)),"Revisar asignación",IF(AND(H85="Cerrada",K85&gt;0),"Hay soportes sin devolver",""))))</f>
        <v/>
      </c>
      <c r="N85" s="26" t="n"/>
    </row>
    <row r="86" ht="22" customHeight="1">
      <c r="A86" s="20" t="n"/>
      <c r="B86" s="20" t="n"/>
      <c r="C86" s="20" t="n"/>
      <c r="D86" s="22" t="n"/>
      <c r="E86" s="20" t="n"/>
      <c r="F86" s="20" t="n"/>
      <c r="G86" s="20" t="n"/>
      <c r="H86" s="20" t="n"/>
      <c r="I86" s="23">
        <f>IF(A86="","",COUNTIFS(tblControl[ID de sesión],A86,tblControl[Tipo],"Batería"))</f>
        <v/>
      </c>
      <c r="J86" s="23">
        <f>IF(A86="","",COUNTIFS(tblControl[ID de sesión],A86,tblControl[Tipo],"Tarjeta"))</f>
        <v/>
      </c>
      <c r="K86" s="23">
        <f>IF(A86="","",COUNTIFS(tblControl[ID de sesión],A86,tblControl[Estado del control],"Abierto"))</f>
        <v/>
      </c>
      <c r="L86" s="27">
        <f>IF(A86="","",SUMIFS(tblControl[GB usados],tblControl[ID de sesión],A86))</f>
        <v/>
      </c>
      <c r="M86" s="25">
        <f>IF(A86="","",IF(AND(D86&lt;Resumen!$C$6,H86&lt;&gt;"Cerrada",H86&lt;&gt;"Cancelada"),"Sesión pasada sin cerrar",IF(AND(D86&gt;=Resumen!$C$6,D86&lt;=Resumen!$C$6+Resumen!$C$5,H86&lt;&gt;"Cerrada",OR(I86=0,J86=0)),"Revisar asignación",IF(AND(H86="Cerrada",K86&gt;0),"Hay soportes sin devolver",""))))</f>
        <v/>
      </c>
      <c r="N86" s="26" t="n"/>
    </row>
    <row r="87" ht="22" customHeight="1">
      <c r="A87" s="20" t="n"/>
      <c r="B87" s="20" t="n"/>
      <c r="C87" s="20" t="n"/>
      <c r="D87" s="22" t="n"/>
      <c r="E87" s="20" t="n"/>
      <c r="F87" s="20" t="n"/>
      <c r="G87" s="20" t="n"/>
      <c r="H87" s="20" t="n"/>
      <c r="I87" s="23">
        <f>IF(A87="","",COUNTIFS(tblControl[ID de sesión],A87,tblControl[Tipo],"Batería"))</f>
        <v/>
      </c>
      <c r="J87" s="23">
        <f>IF(A87="","",COUNTIFS(tblControl[ID de sesión],A87,tblControl[Tipo],"Tarjeta"))</f>
        <v/>
      </c>
      <c r="K87" s="23">
        <f>IF(A87="","",COUNTIFS(tblControl[ID de sesión],A87,tblControl[Estado del control],"Abierto"))</f>
        <v/>
      </c>
      <c r="L87" s="27">
        <f>IF(A87="","",SUMIFS(tblControl[GB usados],tblControl[ID de sesión],A87))</f>
        <v/>
      </c>
      <c r="M87" s="25">
        <f>IF(A87="","",IF(AND(D87&lt;Resumen!$C$6,H87&lt;&gt;"Cerrada",H87&lt;&gt;"Cancelada"),"Sesión pasada sin cerrar",IF(AND(D87&gt;=Resumen!$C$6,D87&lt;=Resumen!$C$6+Resumen!$C$5,H87&lt;&gt;"Cerrada",OR(I87=0,J87=0)),"Revisar asignación",IF(AND(H87="Cerrada",K87&gt;0),"Hay soportes sin devolver",""))))</f>
        <v/>
      </c>
      <c r="N87" s="26" t="n"/>
    </row>
    <row r="88" ht="22" customHeight="1">
      <c r="A88" s="20" t="n"/>
      <c r="B88" s="20" t="n"/>
      <c r="C88" s="20" t="n"/>
      <c r="D88" s="22" t="n"/>
      <c r="E88" s="20" t="n"/>
      <c r="F88" s="20" t="n"/>
      <c r="G88" s="20" t="n"/>
      <c r="H88" s="20" t="n"/>
      <c r="I88" s="23">
        <f>IF(A88="","",COUNTIFS(tblControl[ID de sesión],A88,tblControl[Tipo],"Batería"))</f>
        <v/>
      </c>
      <c r="J88" s="23">
        <f>IF(A88="","",COUNTIFS(tblControl[ID de sesión],A88,tblControl[Tipo],"Tarjeta"))</f>
        <v/>
      </c>
      <c r="K88" s="23">
        <f>IF(A88="","",COUNTIFS(tblControl[ID de sesión],A88,tblControl[Estado del control],"Abierto"))</f>
        <v/>
      </c>
      <c r="L88" s="27">
        <f>IF(A88="","",SUMIFS(tblControl[GB usados],tblControl[ID de sesión],A88))</f>
        <v/>
      </c>
      <c r="M88" s="25">
        <f>IF(A88="","",IF(AND(D88&lt;Resumen!$C$6,H88&lt;&gt;"Cerrada",H88&lt;&gt;"Cancelada"),"Sesión pasada sin cerrar",IF(AND(D88&gt;=Resumen!$C$6,D88&lt;=Resumen!$C$6+Resumen!$C$5,H88&lt;&gt;"Cerrada",OR(I88=0,J88=0)),"Revisar asignación",IF(AND(H88="Cerrada",K88&gt;0),"Hay soportes sin devolver",""))))</f>
        <v/>
      </c>
      <c r="N88" s="26" t="n"/>
    </row>
    <row r="89" ht="22" customHeight="1">
      <c r="A89" s="20" t="n"/>
      <c r="B89" s="20" t="n"/>
      <c r="C89" s="20" t="n"/>
      <c r="D89" s="22" t="n"/>
      <c r="E89" s="20" t="n"/>
      <c r="F89" s="20" t="n"/>
      <c r="G89" s="20" t="n"/>
      <c r="H89" s="20" t="n"/>
      <c r="I89" s="23">
        <f>IF(A89="","",COUNTIFS(tblControl[ID de sesión],A89,tblControl[Tipo],"Batería"))</f>
        <v/>
      </c>
      <c r="J89" s="23">
        <f>IF(A89="","",COUNTIFS(tblControl[ID de sesión],A89,tblControl[Tipo],"Tarjeta"))</f>
        <v/>
      </c>
      <c r="K89" s="23">
        <f>IF(A89="","",COUNTIFS(tblControl[ID de sesión],A89,tblControl[Estado del control],"Abierto"))</f>
        <v/>
      </c>
      <c r="L89" s="27">
        <f>IF(A89="","",SUMIFS(tblControl[GB usados],tblControl[ID de sesión],A89))</f>
        <v/>
      </c>
      <c r="M89" s="25">
        <f>IF(A89="","",IF(AND(D89&lt;Resumen!$C$6,H89&lt;&gt;"Cerrada",H89&lt;&gt;"Cancelada"),"Sesión pasada sin cerrar",IF(AND(D89&gt;=Resumen!$C$6,D89&lt;=Resumen!$C$6+Resumen!$C$5,H89&lt;&gt;"Cerrada",OR(I89=0,J89=0)),"Revisar asignación",IF(AND(H89="Cerrada",K89&gt;0),"Hay soportes sin devolver",""))))</f>
        <v/>
      </c>
      <c r="N89" s="26" t="n"/>
    </row>
    <row r="90" ht="22" customHeight="1">
      <c r="A90" s="20" t="n"/>
      <c r="B90" s="20" t="n"/>
      <c r="C90" s="20" t="n"/>
      <c r="D90" s="22" t="n"/>
      <c r="E90" s="20" t="n"/>
      <c r="F90" s="20" t="n"/>
      <c r="G90" s="20" t="n"/>
      <c r="H90" s="20" t="n"/>
      <c r="I90" s="23">
        <f>IF(A90="","",COUNTIFS(tblControl[ID de sesión],A90,tblControl[Tipo],"Batería"))</f>
        <v/>
      </c>
      <c r="J90" s="23">
        <f>IF(A90="","",COUNTIFS(tblControl[ID de sesión],A90,tblControl[Tipo],"Tarjeta"))</f>
        <v/>
      </c>
      <c r="K90" s="23">
        <f>IF(A90="","",COUNTIFS(tblControl[ID de sesión],A90,tblControl[Estado del control],"Abierto"))</f>
        <v/>
      </c>
      <c r="L90" s="27">
        <f>IF(A90="","",SUMIFS(tblControl[GB usados],tblControl[ID de sesión],A90))</f>
        <v/>
      </c>
      <c r="M90" s="25">
        <f>IF(A90="","",IF(AND(D90&lt;Resumen!$C$6,H90&lt;&gt;"Cerrada",H90&lt;&gt;"Cancelada"),"Sesión pasada sin cerrar",IF(AND(D90&gt;=Resumen!$C$6,D90&lt;=Resumen!$C$6+Resumen!$C$5,H90&lt;&gt;"Cerrada",OR(I90=0,J90=0)),"Revisar asignación",IF(AND(H90="Cerrada",K90&gt;0),"Hay soportes sin devolver",""))))</f>
        <v/>
      </c>
      <c r="N90" s="26" t="n"/>
    </row>
    <row r="91" ht="22" customHeight="1">
      <c r="A91" s="20" t="n"/>
      <c r="B91" s="20" t="n"/>
      <c r="C91" s="20" t="n"/>
      <c r="D91" s="22" t="n"/>
      <c r="E91" s="20" t="n"/>
      <c r="F91" s="20" t="n"/>
      <c r="G91" s="20" t="n"/>
      <c r="H91" s="20" t="n"/>
      <c r="I91" s="23">
        <f>IF(A91="","",COUNTIFS(tblControl[ID de sesión],A91,tblControl[Tipo],"Batería"))</f>
        <v/>
      </c>
      <c r="J91" s="23">
        <f>IF(A91="","",COUNTIFS(tblControl[ID de sesión],A91,tblControl[Tipo],"Tarjeta"))</f>
        <v/>
      </c>
      <c r="K91" s="23">
        <f>IF(A91="","",COUNTIFS(tblControl[ID de sesión],A91,tblControl[Estado del control],"Abierto"))</f>
        <v/>
      </c>
      <c r="L91" s="27">
        <f>IF(A91="","",SUMIFS(tblControl[GB usados],tblControl[ID de sesión],A91))</f>
        <v/>
      </c>
      <c r="M91" s="25">
        <f>IF(A91="","",IF(AND(D91&lt;Resumen!$C$6,H91&lt;&gt;"Cerrada",H91&lt;&gt;"Cancelada"),"Sesión pasada sin cerrar",IF(AND(D91&gt;=Resumen!$C$6,D91&lt;=Resumen!$C$6+Resumen!$C$5,H91&lt;&gt;"Cerrada",OR(I91=0,J91=0)),"Revisar asignación",IF(AND(H91="Cerrada",K91&gt;0),"Hay soportes sin devolver",""))))</f>
        <v/>
      </c>
      <c r="N91" s="26" t="n"/>
    </row>
    <row r="92" ht="22" customHeight="1">
      <c r="A92" s="20" t="n"/>
      <c r="B92" s="20" t="n"/>
      <c r="C92" s="20" t="n"/>
      <c r="D92" s="22" t="n"/>
      <c r="E92" s="20" t="n"/>
      <c r="F92" s="20" t="n"/>
      <c r="G92" s="20" t="n"/>
      <c r="H92" s="20" t="n"/>
      <c r="I92" s="23">
        <f>IF(A92="","",COUNTIFS(tblControl[ID de sesión],A92,tblControl[Tipo],"Batería"))</f>
        <v/>
      </c>
      <c r="J92" s="23">
        <f>IF(A92="","",COUNTIFS(tblControl[ID de sesión],A92,tblControl[Tipo],"Tarjeta"))</f>
        <v/>
      </c>
      <c r="K92" s="23">
        <f>IF(A92="","",COUNTIFS(tblControl[ID de sesión],A92,tblControl[Estado del control],"Abierto"))</f>
        <v/>
      </c>
      <c r="L92" s="27">
        <f>IF(A92="","",SUMIFS(tblControl[GB usados],tblControl[ID de sesión],A92))</f>
        <v/>
      </c>
      <c r="M92" s="25">
        <f>IF(A92="","",IF(AND(D92&lt;Resumen!$C$6,H92&lt;&gt;"Cerrada",H92&lt;&gt;"Cancelada"),"Sesión pasada sin cerrar",IF(AND(D92&gt;=Resumen!$C$6,D92&lt;=Resumen!$C$6+Resumen!$C$5,H92&lt;&gt;"Cerrada",OR(I92=0,J92=0)),"Revisar asignación",IF(AND(H92="Cerrada",K92&gt;0),"Hay soportes sin devolver",""))))</f>
        <v/>
      </c>
      <c r="N92" s="26" t="n"/>
    </row>
    <row r="93" ht="22" customHeight="1">
      <c r="A93" s="20" t="n"/>
      <c r="B93" s="20" t="n"/>
      <c r="C93" s="20" t="n"/>
      <c r="D93" s="22" t="n"/>
      <c r="E93" s="20" t="n"/>
      <c r="F93" s="20" t="n"/>
      <c r="G93" s="20" t="n"/>
      <c r="H93" s="20" t="n"/>
      <c r="I93" s="23">
        <f>IF(A93="","",COUNTIFS(tblControl[ID de sesión],A93,tblControl[Tipo],"Batería"))</f>
        <v/>
      </c>
      <c r="J93" s="23">
        <f>IF(A93="","",COUNTIFS(tblControl[ID de sesión],A93,tblControl[Tipo],"Tarjeta"))</f>
        <v/>
      </c>
      <c r="K93" s="23">
        <f>IF(A93="","",COUNTIFS(tblControl[ID de sesión],A93,tblControl[Estado del control],"Abierto"))</f>
        <v/>
      </c>
      <c r="L93" s="27">
        <f>IF(A93="","",SUMIFS(tblControl[GB usados],tblControl[ID de sesión],A93))</f>
        <v/>
      </c>
      <c r="M93" s="25">
        <f>IF(A93="","",IF(AND(D93&lt;Resumen!$C$6,H93&lt;&gt;"Cerrada",H93&lt;&gt;"Cancelada"),"Sesión pasada sin cerrar",IF(AND(D93&gt;=Resumen!$C$6,D93&lt;=Resumen!$C$6+Resumen!$C$5,H93&lt;&gt;"Cerrada",OR(I93=0,J93=0)),"Revisar asignación",IF(AND(H93="Cerrada",K93&gt;0),"Hay soportes sin devolver",""))))</f>
        <v/>
      </c>
      <c r="N93" s="26" t="n"/>
    </row>
    <row r="94" ht="22" customHeight="1">
      <c r="A94" s="20" t="n"/>
      <c r="B94" s="20" t="n"/>
      <c r="C94" s="20" t="n"/>
      <c r="D94" s="22" t="n"/>
      <c r="E94" s="20" t="n"/>
      <c r="F94" s="20" t="n"/>
      <c r="G94" s="20" t="n"/>
      <c r="H94" s="20" t="n"/>
      <c r="I94" s="23">
        <f>IF(A94="","",COUNTIFS(tblControl[ID de sesión],A94,tblControl[Tipo],"Batería"))</f>
        <v/>
      </c>
      <c r="J94" s="23">
        <f>IF(A94="","",COUNTIFS(tblControl[ID de sesión],A94,tblControl[Tipo],"Tarjeta"))</f>
        <v/>
      </c>
      <c r="K94" s="23">
        <f>IF(A94="","",COUNTIFS(tblControl[ID de sesión],A94,tblControl[Estado del control],"Abierto"))</f>
        <v/>
      </c>
      <c r="L94" s="27">
        <f>IF(A94="","",SUMIFS(tblControl[GB usados],tblControl[ID de sesión],A94))</f>
        <v/>
      </c>
      <c r="M94" s="25">
        <f>IF(A94="","",IF(AND(D94&lt;Resumen!$C$6,H94&lt;&gt;"Cerrada",H94&lt;&gt;"Cancelada"),"Sesión pasada sin cerrar",IF(AND(D94&gt;=Resumen!$C$6,D94&lt;=Resumen!$C$6+Resumen!$C$5,H94&lt;&gt;"Cerrada",OR(I94=0,J94=0)),"Revisar asignación",IF(AND(H94="Cerrada",K94&gt;0),"Hay soportes sin devolver",""))))</f>
        <v/>
      </c>
      <c r="N94" s="26" t="n"/>
    </row>
    <row r="95" ht="22" customHeight="1">
      <c r="A95" s="20" t="n"/>
      <c r="B95" s="20" t="n"/>
      <c r="C95" s="20" t="n"/>
      <c r="D95" s="22" t="n"/>
      <c r="E95" s="20" t="n"/>
      <c r="F95" s="20" t="n"/>
      <c r="G95" s="20" t="n"/>
      <c r="H95" s="20" t="n"/>
      <c r="I95" s="23">
        <f>IF(A95="","",COUNTIFS(tblControl[ID de sesión],A95,tblControl[Tipo],"Batería"))</f>
        <v/>
      </c>
      <c r="J95" s="23">
        <f>IF(A95="","",COUNTIFS(tblControl[ID de sesión],A95,tblControl[Tipo],"Tarjeta"))</f>
        <v/>
      </c>
      <c r="K95" s="23">
        <f>IF(A95="","",COUNTIFS(tblControl[ID de sesión],A95,tblControl[Estado del control],"Abierto"))</f>
        <v/>
      </c>
      <c r="L95" s="27">
        <f>IF(A95="","",SUMIFS(tblControl[GB usados],tblControl[ID de sesión],A95))</f>
        <v/>
      </c>
      <c r="M95" s="25">
        <f>IF(A95="","",IF(AND(D95&lt;Resumen!$C$6,H95&lt;&gt;"Cerrada",H95&lt;&gt;"Cancelada"),"Sesión pasada sin cerrar",IF(AND(D95&gt;=Resumen!$C$6,D95&lt;=Resumen!$C$6+Resumen!$C$5,H95&lt;&gt;"Cerrada",OR(I95=0,J95=0)),"Revisar asignación",IF(AND(H95="Cerrada",K95&gt;0),"Hay soportes sin devolver",""))))</f>
        <v/>
      </c>
      <c r="N95" s="26" t="n"/>
    </row>
    <row r="96" ht="22" customHeight="1">
      <c r="A96" s="20" t="n"/>
      <c r="B96" s="20" t="n"/>
      <c r="C96" s="20" t="n"/>
      <c r="D96" s="22" t="n"/>
      <c r="E96" s="20" t="n"/>
      <c r="F96" s="20" t="n"/>
      <c r="G96" s="20" t="n"/>
      <c r="H96" s="20" t="n"/>
      <c r="I96" s="23">
        <f>IF(A96="","",COUNTIFS(tblControl[ID de sesión],A96,tblControl[Tipo],"Batería"))</f>
        <v/>
      </c>
      <c r="J96" s="23">
        <f>IF(A96="","",COUNTIFS(tblControl[ID de sesión],A96,tblControl[Tipo],"Tarjeta"))</f>
        <v/>
      </c>
      <c r="K96" s="23">
        <f>IF(A96="","",COUNTIFS(tblControl[ID de sesión],A96,tblControl[Estado del control],"Abierto"))</f>
        <v/>
      </c>
      <c r="L96" s="27">
        <f>IF(A96="","",SUMIFS(tblControl[GB usados],tblControl[ID de sesión],A96))</f>
        <v/>
      </c>
      <c r="M96" s="25">
        <f>IF(A96="","",IF(AND(D96&lt;Resumen!$C$6,H96&lt;&gt;"Cerrada",H96&lt;&gt;"Cancelada"),"Sesión pasada sin cerrar",IF(AND(D96&gt;=Resumen!$C$6,D96&lt;=Resumen!$C$6+Resumen!$C$5,H96&lt;&gt;"Cerrada",OR(I96=0,J96=0)),"Revisar asignación",IF(AND(H96="Cerrada",K96&gt;0),"Hay soportes sin devolver",""))))</f>
        <v/>
      </c>
      <c r="N96" s="26" t="n"/>
    </row>
    <row r="97" ht="22" customHeight="1">
      <c r="A97" s="20" t="n"/>
      <c r="B97" s="20" t="n"/>
      <c r="C97" s="20" t="n"/>
      <c r="D97" s="22" t="n"/>
      <c r="E97" s="20" t="n"/>
      <c r="F97" s="20" t="n"/>
      <c r="G97" s="20" t="n"/>
      <c r="H97" s="20" t="n"/>
      <c r="I97" s="23">
        <f>IF(A97="","",COUNTIFS(tblControl[ID de sesión],A97,tblControl[Tipo],"Batería"))</f>
        <v/>
      </c>
      <c r="J97" s="23">
        <f>IF(A97="","",COUNTIFS(tblControl[ID de sesión],A97,tblControl[Tipo],"Tarjeta"))</f>
        <v/>
      </c>
      <c r="K97" s="23">
        <f>IF(A97="","",COUNTIFS(tblControl[ID de sesión],A97,tblControl[Estado del control],"Abierto"))</f>
        <v/>
      </c>
      <c r="L97" s="27">
        <f>IF(A97="","",SUMIFS(tblControl[GB usados],tblControl[ID de sesión],A97))</f>
        <v/>
      </c>
      <c r="M97" s="25">
        <f>IF(A97="","",IF(AND(D97&lt;Resumen!$C$6,H97&lt;&gt;"Cerrada",H97&lt;&gt;"Cancelada"),"Sesión pasada sin cerrar",IF(AND(D97&gt;=Resumen!$C$6,D97&lt;=Resumen!$C$6+Resumen!$C$5,H97&lt;&gt;"Cerrada",OR(I97=0,J97=0)),"Revisar asignación",IF(AND(H97="Cerrada",K97&gt;0),"Hay soportes sin devolver",""))))</f>
        <v/>
      </c>
      <c r="N97" s="26" t="n"/>
    </row>
    <row r="98" ht="22" customHeight="1">
      <c r="A98" s="20" t="n"/>
      <c r="B98" s="20" t="n"/>
      <c r="C98" s="20" t="n"/>
      <c r="D98" s="22" t="n"/>
      <c r="E98" s="20" t="n"/>
      <c r="F98" s="20" t="n"/>
      <c r="G98" s="20" t="n"/>
      <c r="H98" s="20" t="n"/>
      <c r="I98" s="23">
        <f>IF(A98="","",COUNTIFS(tblControl[ID de sesión],A98,tblControl[Tipo],"Batería"))</f>
        <v/>
      </c>
      <c r="J98" s="23">
        <f>IF(A98="","",COUNTIFS(tblControl[ID de sesión],A98,tblControl[Tipo],"Tarjeta"))</f>
        <v/>
      </c>
      <c r="K98" s="23">
        <f>IF(A98="","",COUNTIFS(tblControl[ID de sesión],A98,tblControl[Estado del control],"Abierto"))</f>
        <v/>
      </c>
      <c r="L98" s="27">
        <f>IF(A98="","",SUMIFS(tblControl[GB usados],tblControl[ID de sesión],A98))</f>
        <v/>
      </c>
      <c r="M98" s="25">
        <f>IF(A98="","",IF(AND(D98&lt;Resumen!$C$6,H98&lt;&gt;"Cerrada",H98&lt;&gt;"Cancelada"),"Sesión pasada sin cerrar",IF(AND(D98&gt;=Resumen!$C$6,D98&lt;=Resumen!$C$6+Resumen!$C$5,H98&lt;&gt;"Cerrada",OR(I98=0,J98=0)),"Revisar asignación",IF(AND(H98="Cerrada",K98&gt;0),"Hay soportes sin devolver",""))))</f>
        <v/>
      </c>
      <c r="N98" s="26" t="n"/>
    </row>
    <row r="99" ht="22" customHeight="1">
      <c r="A99" s="20" t="n"/>
      <c r="B99" s="20" t="n"/>
      <c r="C99" s="20" t="n"/>
      <c r="D99" s="22" t="n"/>
      <c r="E99" s="20" t="n"/>
      <c r="F99" s="20" t="n"/>
      <c r="G99" s="20" t="n"/>
      <c r="H99" s="20" t="n"/>
      <c r="I99" s="23">
        <f>IF(A99="","",COUNTIFS(tblControl[ID de sesión],A99,tblControl[Tipo],"Batería"))</f>
        <v/>
      </c>
      <c r="J99" s="23">
        <f>IF(A99="","",COUNTIFS(tblControl[ID de sesión],A99,tblControl[Tipo],"Tarjeta"))</f>
        <v/>
      </c>
      <c r="K99" s="23">
        <f>IF(A99="","",COUNTIFS(tblControl[ID de sesión],A99,tblControl[Estado del control],"Abierto"))</f>
        <v/>
      </c>
      <c r="L99" s="27">
        <f>IF(A99="","",SUMIFS(tblControl[GB usados],tblControl[ID de sesión],A99))</f>
        <v/>
      </c>
      <c r="M99" s="25">
        <f>IF(A99="","",IF(AND(D99&lt;Resumen!$C$6,H99&lt;&gt;"Cerrada",H99&lt;&gt;"Cancelada"),"Sesión pasada sin cerrar",IF(AND(D99&gt;=Resumen!$C$6,D99&lt;=Resumen!$C$6+Resumen!$C$5,H99&lt;&gt;"Cerrada",OR(I99=0,J99=0)),"Revisar asignación",IF(AND(H99="Cerrada",K99&gt;0),"Hay soportes sin devolver",""))))</f>
        <v/>
      </c>
      <c r="N99" s="26" t="n"/>
    </row>
    <row r="100" ht="22" customHeight="1">
      <c r="A100" s="20" t="n"/>
      <c r="B100" s="20" t="n"/>
      <c r="C100" s="20" t="n"/>
      <c r="D100" s="22" t="n"/>
      <c r="E100" s="20" t="n"/>
      <c r="F100" s="20" t="n"/>
      <c r="G100" s="20" t="n"/>
      <c r="H100" s="20" t="n"/>
      <c r="I100" s="23">
        <f>IF(A100="","",COUNTIFS(tblControl[ID de sesión],A100,tblControl[Tipo],"Batería"))</f>
        <v/>
      </c>
      <c r="J100" s="23">
        <f>IF(A100="","",COUNTIFS(tblControl[ID de sesión],A100,tblControl[Tipo],"Tarjeta"))</f>
        <v/>
      </c>
      <c r="K100" s="23">
        <f>IF(A100="","",COUNTIFS(tblControl[ID de sesión],A100,tblControl[Estado del control],"Abierto"))</f>
        <v/>
      </c>
      <c r="L100" s="27">
        <f>IF(A100="","",SUMIFS(tblControl[GB usados],tblControl[ID de sesión],A100))</f>
        <v/>
      </c>
      <c r="M100" s="25">
        <f>IF(A100="","",IF(AND(D100&lt;Resumen!$C$6,H100&lt;&gt;"Cerrada",H100&lt;&gt;"Cancelada"),"Sesión pasada sin cerrar",IF(AND(D100&gt;=Resumen!$C$6,D100&lt;=Resumen!$C$6+Resumen!$C$5,H100&lt;&gt;"Cerrada",OR(I100=0,J100=0)),"Revisar asignación",IF(AND(H100="Cerrada",K100&gt;0),"Hay soportes sin devolver",""))))</f>
        <v/>
      </c>
      <c r="N100" s="26" t="n"/>
    </row>
    <row r="101" ht="22" customHeight="1">
      <c r="A101" s="20" t="n"/>
      <c r="B101" s="20" t="n"/>
      <c r="C101" s="20" t="n"/>
      <c r="D101" s="22" t="n"/>
      <c r="E101" s="20" t="n"/>
      <c r="F101" s="20" t="n"/>
      <c r="G101" s="20" t="n"/>
      <c r="H101" s="20" t="n"/>
      <c r="I101" s="23">
        <f>IF(A101="","",COUNTIFS(tblControl[ID de sesión],A101,tblControl[Tipo],"Batería"))</f>
        <v/>
      </c>
      <c r="J101" s="23">
        <f>IF(A101="","",COUNTIFS(tblControl[ID de sesión],A101,tblControl[Tipo],"Tarjeta"))</f>
        <v/>
      </c>
      <c r="K101" s="23">
        <f>IF(A101="","",COUNTIFS(tblControl[ID de sesión],A101,tblControl[Estado del control],"Abierto"))</f>
        <v/>
      </c>
      <c r="L101" s="27">
        <f>IF(A101="","",SUMIFS(tblControl[GB usados],tblControl[ID de sesión],A101))</f>
        <v/>
      </c>
      <c r="M101" s="25">
        <f>IF(A101="","",IF(AND(D101&lt;Resumen!$C$6,H101&lt;&gt;"Cerrada",H101&lt;&gt;"Cancelada"),"Sesión pasada sin cerrar",IF(AND(D101&gt;=Resumen!$C$6,D101&lt;=Resumen!$C$6+Resumen!$C$5,H101&lt;&gt;"Cerrada",OR(I101=0,J101=0)),"Revisar asignación",IF(AND(H101="Cerrada",K101&gt;0),"Hay soportes sin devolver",""))))</f>
        <v/>
      </c>
      <c r="N101" s="26" t="n"/>
    </row>
  </sheetData>
  <conditionalFormatting sqref="A2:N101">
    <cfRule type="expression" priority="1" dxfId="2">
      <formula>AND($A2&lt;&gt;"",$D2&gt;=Resumen!$C$6,$D2&lt;=Resumen!$C$6+Resumen!$C$5,$H2&lt;&gt;"Cerrada",$H2&lt;&gt;"Cancelada")</formula>
    </cfRule>
    <cfRule type="expression" priority="2" dxfId="4">
      <formula>AND($A2&lt;&gt;"",$D2&lt;Resumen!$C$6,$H2&lt;&gt;"Cerrada",$H2&lt;&gt;"Cancelada")</formula>
    </cfRule>
    <cfRule type="expression" priority="3" dxfId="7">
      <formula>$H2="Cerrada"</formula>
    </cfRule>
  </conditionalFormatting>
  <conditionalFormatting sqref="M2:M101">
    <cfRule type="expression" priority="4" dxfId="1">
      <formula>$M2&lt;&gt;""</formula>
    </cfRule>
  </conditionalFormatting>
  <conditionalFormatting sqref="A2:A101">
    <cfRule type="expression" priority="5" dxfId="1">
      <formula>AND($A2&lt;&gt;"",COUNTIF($A$2:$A$101,$A2)&gt;1)</formula>
    </cfRule>
  </conditionalFormatting>
  <dataValidations count="4">
    <dataValidation sqref="E2:E101" showDropDown="0" showInputMessage="1" showErrorMessage="1" allowBlank="0" errorTitle="Valor no válido" error="Seleccione un tipo de trabajo válido." promptTitle="Entrada" prompt="Seleccione o introduzca un valor válido." type="list">
      <formula1>='Instrucciones'!$J$4:$J$7</formula1>
    </dataValidation>
    <dataValidation sqref="H2:H101" showDropDown="0" showInputMessage="1" showErrorMessage="1" allowBlank="0" errorTitle="Valor no válido" error="Seleccione un estado válido." promptTitle="Entrada" prompt="Seleccione o introduzca un valor válido." type="list">
      <formula1>='Instrucciones'!$K$4:$K$8</formula1>
    </dataValidation>
    <dataValidation sqref="D2:D101" showDropDown="0" showInputMessage="1" showErrorMessage="1" allowBlank="0" errorTitle="Valor no válido" error="Introduzca una fecha entre 01/01/2020 y 31/12/2100." promptTitle="Entrada" prompt="Seleccione o introduzca un valor válido." type="date">
      <formula1>DATE(2020,1,1)</formula1>
      <formula2>DATE(2100,12,31)</formula2>
    </dataValidation>
    <dataValidation sqref="A2:A101" showDropDown="0" showInputMessage="1" showErrorMessage="1" allowBlank="0" errorTitle="Valor no válido" error="Indique un ID de sesión cuando la fila contenga datos." promptTitle="Entrada" prompt="Seleccione o introduzca un valor válido." type="custom">
      <formula1>=OR($A2&lt;&gt;"",COUNTA($B2:$H2,$N2)=0)</formula1>
    </dataValidation>
  </dataValidation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T301"/>
  <sheetViews>
    <sheetView showGridLines="0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7" customWidth="1" min="3" max="3"/>
    <col width="12" customWidth="1" min="4" max="4"/>
    <col width="22" customWidth="1" min="5" max="5"/>
    <col width="17" customWidth="1" min="6" max="6"/>
    <col width="18" customWidth="1" min="7" max="7"/>
    <col width="22" customWidth="1" min="8" max="8"/>
    <col width="19" customWidth="1" min="9" max="9"/>
    <col width="21" customWidth="1" min="10" max="10"/>
    <col width="14" customWidth="1" min="11" max="11"/>
    <col width="19" customWidth="1" min="12" max="12"/>
    <col width="18" customWidth="1" min="13" max="13"/>
    <col width="20" customWidth="1" min="14" max="14"/>
    <col width="18" customWidth="1" min="15" max="15"/>
    <col width="17" customWidth="1" min="16" max="16"/>
    <col width="37" customWidth="1" min="17" max="17"/>
    <col width="19" customWidth="1" min="18" max="18"/>
    <col width="38" customWidth="1" min="19" max="19"/>
    <col width="18" customWidth="1" min="20" max="20"/>
  </cols>
  <sheetData>
    <row r="1" ht="34" customHeight="1">
      <c r="A1" s="19" t="inlineStr">
        <is>
          <t>ID de control</t>
        </is>
      </c>
      <c r="B1" s="19" t="inlineStr">
        <is>
          <t>ID de sesión</t>
        </is>
      </c>
      <c r="C1" s="19" t="inlineStr">
        <is>
          <t>ID del soporte</t>
        </is>
      </c>
      <c r="D1" s="19" t="inlineStr">
        <is>
          <t>Tipo</t>
        </is>
      </c>
      <c r="E1" s="19" t="inlineStr">
        <is>
          <t>Equipo o destino</t>
        </is>
      </c>
      <c r="F1" s="19" t="inlineStr">
        <is>
          <t>Fecha de salida</t>
        </is>
      </c>
      <c r="G1" s="19" t="inlineStr">
        <is>
          <t>Carga de salida (%)</t>
        </is>
      </c>
      <c r="H1" s="19" t="inlineStr">
        <is>
          <t>Espacio libre de salida (GB)</t>
        </is>
      </c>
      <c r="I1" s="19" t="inlineStr">
        <is>
          <t>Fecha de devolución</t>
        </is>
      </c>
      <c r="J1" s="19" t="inlineStr">
        <is>
          <t>Carga de devolución (%)</t>
        </is>
      </c>
      <c r="K1" s="19" t="inlineStr">
        <is>
          <t>GB usados</t>
        </is>
      </c>
      <c r="L1" s="19" t="inlineStr">
        <is>
          <t>Descarga realizada</t>
        </is>
      </c>
      <c r="M1" s="19" t="inlineStr">
        <is>
          <t>Fecha de descarga</t>
        </is>
      </c>
      <c r="N1" s="19" t="inlineStr">
        <is>
          <t>Descarga verificada</t>
        </is>
      </c>
      <c r="O1" s="19" t="inlineStr">
        <is>
          <t>Borrado realizado</t>
        </is>
      </c>
      <c r="P1" s="19" t="inlineStr">
        <is>
          <t>Fecha de borrado</t>
        </is>
      </c>
      <c r="Q1" s="19" t="inlineStr">
        <is>
          <t>Incidencia</t>
        </is>
      </c>
      <c r="R1" s="19" t="inlineStr">
        <is>
          <t>Estado del control</t>
        </is>
      </c>
      <c r="S1" s="19" t="inlineStr">
        <is>
          <t>Comprobación</t>
        </is>
      </c>
      <c r="T1" s="19" t="inlineStr">
        <is>
          <t>Responsable</t>
        </is>
      </c>
    </row>
    <row r="2" ht="22" customHeight="1">
      <c r="A2" s="20" t="inlineStr">
        <is>
          <t>CTL-0001</t>
        </is>
      </c>
      <c r="B2" s="20" t="inlineStr">
        <is>
          <t>SES-260901</t>
        </is>
      </c>
      <c r="C2" s="20" t="inlineStr">
        <is>
          <t>BAT-001</t>
        </is>
      </c>
      <c r="D2" s="23">
        <f>IF(C2="","",IFERROR(_xlfn.XLOOKUP(C2,tblInventario[ID del soporte],tblInventario[Tipo],""),""))</f>
        <v/>
      </c>
      <c r="E2" s="20" t="inlineStr">
        <is>
          <t>Cámara Alfa</t>
        </is>
      </c>
      <c r="F2" s="22" t="n">
        <v>46266</v>
      </c>
      <c r="G2" s="20" t="n">
        <v>100</v>
      </c>
      <c r="H2" s="21" t="n"/>
      <c r="I2" s="22" t="n">
        <v>46266</v>
      </c>
      <c r="J2" s="20" t="n">
        <v>47</v>
      </c>
      <c r="K2" s="21" t="n"/>
      <c r="L2" s="20" t="inlineStr">
        <is>
          <t>No procede</t>
        </is>
      </c>
      <c r="M2" s="22" t="n"/>
      <c r="N2" s="20" t="inlineStr">
        <is>
          <t>No procede</t>
        </is>
      </c>
      <c r="O2" s="20" t="inlineStr">
        <is>
          <t>No procede</t>
        </is>
      </c>
      <c r="P2" s="22" t="n"/>
      <c r="Q2" s="26" t="inlineStr"/>
      <c r="R2" s="23">
        <f>IF(A2="","",IF(I2="","Abierto",IF(D2="Tarjeta",IF(OR(L2&lt;&gt;"Sí",N2&lt;&gt;"Sí",O2&lt;&gt;"Sí"),"Pendiente","Cerrado"),IF(D2="Batería","Cerrado","Revisar"))))</f>
        <v/>
      </c>
      <c r="S2" s="25">
        <f>IF(A2="","",IF(B2="","Falta la sesión",IF(C2="","Falta el soporte",IF(D2="","Soporte no encontrado",IF(COUNTIFS(tblControl[ID del soporte],C2,tblControl[Estado del control],"Abierto")&gt;1,"Soporte asignado más de una vez",IF(F2="","Falta la fecha de salida",IF(AND(I2&lt;&gt;"",I2&lt;F2),"La devolución es anterior a la salida",IF(AND(D2="Batería",G2=""),"Falta la carga de salida",IF(AND(D2="Batería",G2&lt;Resumen!$C$3),"Carga de salida inferior al mínimo",IF(AND(D2="Tarjeta",H2=""),"Falta el espacio libre de salida",IF(AND(D2="Tarjeta",I2&lt;&gt;"",L2&lt;&gt;"Sí"),"Descarga pendiente",IF(AND(D2="Tarjeta",L2="Sí",N2&lt;&gt;"Sí"),"Verificación pendiente",IF(AND(D2="Tarjeta",N2="Sí",O2&lt;&gt;"Sí"),"Borrado pendiente",IF(Q2&lt;&gt;"","Revisar incidencia","Correcto"))))))))))))))</f>
        <v/>
      </c>
      <c r="T2" s="20" t="inlineStr">
        <is>
          <t>Equipo A</t>
        </is>
      </c>
    </row>
    <row r="3" ht="22" customHeight="1">
      <c r="A3" s="20" t="inlineStr">
        <is>
          <t>CTL-0002</t>
        </is>
      </c>
      <c r="B3" s="20" t="inlineStr">
        <is>
          <t>SES-260901</t>
        </is>
      </c>
      <c r="C3" s="20" t="inlineStr">
        <is>
          <t>TAR-001</t>
        </is>
      </c>
      <c r="D3" s="23">
        <f>IF(C3="","",IFERROR(_xlfn.XLOOKUP(C3,tblInventario[ID del soporte],tblInventario[Tipo],""),""))</f>
        <v/>
      </c>
      <c r="E3" s="20" t="inlineStr">
        <is>
          <t>Cámara Alfa</t>
        </is>
      </c>
      <c r="F3" s="22" t="n">
        <v>46266</v>
      </c>
      <c r="G3" s="20" t="n"/>
      <c r="H3" s="21" t="n">
        <v>124</v>
      </c>
      <c r="I3" s="22" t="n">
        <v>46266</v>
      </c>
      <c r="J3" s="20" t="n"/>
      <c r="K3" s="21" t="n">
        <v>36</v>
      </c>
      <c r="L3" s="20" t="inlineStr">
        <is>
          <t>Sí</t>
        </is>
      </c>
      <c r="M3" s="22" t="n">
        <v>46266</v>
      </c>
      <c r="N3" s="20" t="inlineStr">
        <is>
          <t>Sí</t>
        </is>
      </c>
      <c r="O3" s="20" t="inlineStr">
        <is>
          <t>Sí</t>
        </is>
      </c>
      <c r="P3" s="22" t="n">
        <v>46267</v>
      </c>
      <c r="Q3" s="26" t="inlineStr"/>
      <c r="R3" s="23">
        <f>IF(A3="","",IF(I3="","Abierto",IF(D3="Tarjeta",IF(OR(L3&lt;&gt;"Sí",N3&lt;&gt;"Sí",O3&lt;&gt;"Sí"),"Pendiente","Cerrado"),IF(D3="Batería","Cerrado","Revisar"))))</f>
        <v/>
      </c>
      <c r="S3" s="25">
        <f>IF(A3="","",IF(B3="","Falta la sesión",IF(C3="","Falta el soporte",IF(D3="","Soporte no encontrado",IF(COUNTIFS(tblControl[ID del soporte],C3,tblControl[Estado del control],"Abierto")&gt;1,"Soporte asignado más de una vez",IF(F3="","Falta la fecha de salida",IF(AND(I3&lt;&gt;"",I3&lt;F3),"La devolución es anterior a la salida",IF(AND(D3="Batería",G3=""),"Falta la carga de salida",IF(AND(D3="Batería",G3&lt;Resumen!$C$3),"Carga de salida inferior al mínimo",IF(AND(D3="Tarjeta",H3=""),"Falta el espacio libre de salida",IF(AND(D3="Tarjeta",I3&lt;&gt;"",L3&lt;&gt;"Sí"),"Descarga pendiente",IF(AND(D3="Tarjeta",L3="Sí",N3&lt;&gt;"Sí"),"Verificación pendiente",IF(AND(D3="Tarjeta",N3="Sí",O3&lt;&gt;"Sí"),"Borrado pendiente",IF(Q3&lt;&gt;"","Revisar incidencia","Correcto"))))))))))))))</f>
        <v/>
      </c>
      <c r="T3" s="20" t="inlineStr">
        <is>
          <t>Equipo A</t>
        </is>
      </c>
    </row>
    <row r="4" ht="22" customHeight="1">
      <c r="A4" s="20" t="inlineStr">
        <is>
          <t>CTL-0003</t>
        </is>
      </c>
      <c r="B4" s="20" t="inlineStr">
        <is>
          <t>SES-260901</t>
        </is>
      </c>
      <c r="C4" s="20" t="inlineStr">
        <is>
          <t>BAT-003</t>
        </is>
      </c>
      <c r="D4" s="23">
        <f>IF(C4="","",IFERROR(_xlfn.XLOOKUP(C4,tblInventario[ID del soporte],tblInventario[Tipo],""),""))</f>
        <v/>
      </c>
      <c r="E4" s="20" t="inlineStr">
        <is>
          <t>Flash principal</t>
        </is>
      </c>
      <c r="F4" s="22" t="n">
        <v>46266</v>
      </c>
      <c r="G4" s="20" t="n">
        <v>92</v>
      </c>
      <c r="H4" s="21" t="n"/>
      <c r="I4" s="22" t="n">
        <v>46266</v>
      </c>
      <c r="J4" s="20" t="n">
        <v>61</v>
      </c>
      <c r="K4" s="21" t="n"/>
      <c r="L4" s="20" t="inlineStr">
        <is>
          <t>No procede</t>
        </is>
      </c>
      <c r="M4" s="22" t="n"/>
      <c r="N4" s="20" t="inlineStr">
        <is>
          <t>No procede</t>
        </is>
      </c>
      <c r="O4" s="20" t="inlineStr">
        <is>
          <t>No procede</t>
        </is>
      </c>
      <c r="P4" s="22" t="n"/>
      <c r="Q4" s="26" t="inlineStr"/>
      <c r="R4" s="23">
        <f>IF(A4="","",IF(I4="","Abierto",IF(D4="Tarjeta",IF(OR(L4&lt;&gt;"Sí",N4&lt;&gt;"Sí",O4&lt;&gt;"Sí"),"Pendiente","Cerrado"),IF(D4="Batería","Cerrado","Revisar"))))</f>
        <v/>
      </c>
      <c r="S4" s="25">
        <f>IF(A4="","",IF(B4="","Falta la sesión",IF(C4="","Falta el soporte",IF(D4="","Soporte no encontrado",IF(COUNTIFS(tblControl[ID del soporte],C4,tblControl[Estado del control],"Abierto")&gt;1,"Soporte asignado más de una vez",IF(F4="","Falta la fecha de salida",IF(AND(I4&lt;&gt;"",I4&lt;F4),"La devolución es anterior a la salida",IF(AND(D4="Batería",G4=""),"Falta la carga de salida",IF(AND(D4="Batería",G4&lt;Resumen!$C$3),"Carga de salida inferior al mínimo",IF(AND(D4="Tarjeta",H4=""),"Falta el espacio libre de salida",IF(AND(D4="Tarjeta",I4&lt;&gt;"",L4&lt;&gt;"Sí"),"Descarga pendiente",IF(AND(D4="Tarjeta",L4="Sí",N4&lt;&gt;"Sí"),"Verificación pendiente",IF(AND(D4="Tarjeta",N4="Sí",O4&lt;&gt;"Sí"),"Borrado pendiente",IF(Q4&lt;&gt;"","Revisar incidencia","Correcto"))))))))))))))</f>
        <v/>
      </c>
      <c r="T4" s="20" t="inlineStr">
        <is>
          <t>Equipo A</t>
        </is>
      </c>
    </row>
    <row r="5" ht="22" customHeight="1">
      <c r="A5" s="20" t="inlineStr">
        <is>
          <t>CTL-0004</t>
        </is>
      </c>
      <c r="B5" s="20" t="inlineStr">
        <is>
          <t>SES-260905</t>
        </is>
      </c>
      <c r="C5" s="20" t="inlineStr">
        <is>
          <t>BAT-002</t>
        </is>
      </c>
      <c r="D5" s="23">
        <f>IF(C5="","",IFERROR(_xlfn.XLOOKUP(C5,tblInventario[ID del soporte],tblInventario[Tipo],""),""))</f>
        <v/>
      </c>
      <c r="E5" s="20" t="inlineStr">
        <is>
          <t>Monitor auxiliar</t>
        </is>
      </c>
      <c r="F5" s="22" t="n">
        <v>46270</v>
      </c>
      <c r="G5" s="20" t="n">
        <v>88</v>
      </c>
      <c r="H5" s="21" t="n"/>
      <c r="I5" s="22" t="n">
        <v>46270</v>
      </c>
      <c r="J5" s="20" t="n">
        <v>58</v>
      </c>
      <c r="K5" s="21" t="n"/>
      <c r="L5" s="20" t="inlineStr">
        <is>
          <t>No procede</t>
        </is>
      </c>
      <c r="M5" s="22" t="n"/>
      <c r="N5" s="20" t="inlineStr">
        <is>
          <t>No procede</t>
        </is>
      </c>
      <c r="O5" s="20" t="inlineStr">
        <is>
          <t>No procede</t>
        </is>
      </c>
      <c r="P5" s="22" t="n"/>
      <c r="Q5" s="26" t="inlineStr"/>
      <c r="R5" s="23">
        <f>IF(A5="","",IF(I5="","Abierto",IF(D5="Tarjeta",IF(OR(L5&lt;&gt;"Sí",N5&lt;&gt;"Sí",O5&lt;&gt;"Sí"),"Pendiente","Cerrado"),IF(D5="Batería","Cerrado","Revisar"))))</f>
        <v/>
      </c>
      <c r="S5" s="25">
        <f>IF(A5="","",IF(B5="","Falta la sesión",IF(C5="","Falta el soporte",IF(D5="","Soporte no encontrado",IF(COUNTIFS(tblControl[ID del soporte],C5,tblControl[Estado del control],"Abierto")&gt;1,"Soporte asignado más de una vez",IF(F5="","Falta la fecha de salida",IF(AND(I5&lt;&gt;"",I5&lt;F5),"La devolución es anterior a la salida",IF(AND(D5="Batería",G5=""),"Falta la carga de salida",IF(AND(D5="Batería",G5&lt;Resumen!$C$3),"Carga de salida inferior al mínimo",IF(AND(D5="Tarjeta",H5=""),"Falta el espacio libre de salida",IF(AND(D5="Tarjeta",I5&lt;&gt;"",L5&lt;&gt;"Sí"),"Descarga pendiente",IF(AND(D5="Tarjeta",L5="Sí",N5&lt;&gt;"Sí"),"Verificación pendiente",IF(AND(D5="Tarjeta",N5="Sí",O5&lt;&gt;"Sí"),"Borrado pendiente",IF(Q5&lt;&gt;"","Revisar incidencia","Correcto"))))))))))))))</f>
        <v/>
      </c>
      <c r="T5" s="20" t="inlineStr">
        <is>
          <t>Equipo B</t>
        </is>
      </c>
    </row>
    <row r="6" ht="22" customHeight="1">
      <c r="A6" s="20" t="inlineStr">
        <is>
          <t>CTL-0005</t>
        </is>
      </c>
      <c r="B6" s="20" t="inlineStr">
        <is>
          <t>SES-260905</t>
        </is>
      </c>
      <c r="C6" s="20" t="inlineStr">
        <is>
          <t>TAR-002</t>
        </is>
      </c>
      <c r="D6" s="23">
        <f>IF(C6="","",IFERROR(_xlfn.XLOOKUP(C6,tblInventario[ID del soporte],tblInventario[Tipo],""),""))</f>
        <v/>
      </c>
      <c r="E6" s="20" t="inlineStr">
        <is>
          <t>Cámara Beta</t>
        </is>
      </c>
      <c r="F6" s="22" t="n">
        <v>46270</v>
      </c>
      <c r="G6" s="20" t="n"/>
      <c r="H6" s="21" t="n">
        <v>120</v>
      </c>
      <c r="I6" s="22" t="n">
        <v>46270</v>
      </c>
      <c r="J6" s="20" t="n"/>
      <c r="K6" s="21" t="n">
        <v>102</v>
      </c>
      <c r="L6" s="20" t="inlineStr">
        <is>
          <t>Sí</t>
        </is>
      </c>
      <c r="M6" s="22" t="n">
        <v>46271</v>
      </c>
      <c r="N6" s="20" t="inlineStr">
        <is>
          <t>Sí</t>
        </is>
      </c>
      <c r="O6" s="20" t="inlineStr">
        <is>
          <t>No</t>
        </is>
      </c>
      <c r="P6" s="22" t="n"/>
      <c r="Q6" s="26" t="inlineStr">
        <is>
          <t>Pendiente de liberar la tarjeta</t>
        </is>
      </c>
      <c r="R6" s="23">
        <f>IF(A6="","",IF(I6="","Abierto",IF(D6="Tarjeta",IF(OR(L6&lt;&gt;"Sí",N6&lt;&gt;"Sí",O6&lt;&gt;"Sí"),"Pendiente","Cerrado"),IF(D6="Batería","Cerrado","Revisar"))))</f>
        <v/>
      </c>
      <c r="S6" s="25">
        <f>IF(A6="","",IF(B6="","Falta la sesión",IF(C6="","Falta el soporte",IF(D6="","Soporte no encontrado",IF(COUNTIFS(tblControl[ID del soporte],C6,tblControl[Estado del control],"Abierto")&gt;1,"Soporte asignado más de una vez",IF(F6="","Falta la fecha de salida",IF(AND(I6&lt;&gt;"",I6&lt;F6),"La devolución es anterior a la salida",IF(AND(D6="Batería",G6=""),"Falta la carga de salida",IF(AND(D6="Batería",G6&lt;Resumen!$C$3),"Carga de salida inferior al mínimo",IF(AND(D6="Tarjeta",H6=""),"Falta el espacio libre de salida",IF(AND(D6="Tarjeta",I6&lt;&gt;"",L6&lt;&gt;"Sí"),"Descarga pendiente",IF(AND(D6="Tarjeta",L6="Sí",N6&lt;&gt;"Sí"),"Verificación pendiente",IF(AND(D6="Tarjeta",N6="Sí",O6&lt;&gt;"Sí"),"Borrado pendiente",IF(Q6&lt;&gt;"","Revisar incidencia","Correcto"))))))))))))))</f>
        <v/>
      </c>
      <c r="T6" s="20" t="inlineStr">
        <is>
          <t>Equipo B</t>
        </is>
      </c>
    </row>
    <row r="7" ht="22" customHeight="1">
      <c r="A7" s="20" t="inlineStr">
        <is>
          <t>CTL-0006</t>
        </is>
      </c>
      <c r="B7" s="20" t="inlineStr">
        <is>
          <t>SES-260905</t>
        </is>
      </c>
      <c r="C7" s="20" t="inlineStr">
        <is>
          <t>TAR-004</t>
        </is>
      </c>
      <c r="D7" s="23">
        <f>IF(C7="","",IFERROR(_xlfn.XLOOKUP(C7,tblInventario[ID del soporte],tblInventario[Tipo],""),""))</f>
        <v/>
      </c>
      <c r="E7" s="20" t="inlineStr">
        <is>
          <t>Cámara de apoyo</t>
        </is>
      </c>
      <c r="F7" s="22" t="n">
        <v>46270</v>
      </c>
      <c r="G7" s="20" t="n"/>
      <c r="H7" s="21" t="n">
        <v>238</v>
      </c>
      <c r="I7" s="22" t="n">
        <v>46270</v>
      </c>
      <c r="J7" s="20" t="n"/>
      <c r="K7" s="21" t="n">
        <v>196</v>
      </c>
      <c r="L7" s="20" t="inlineStr">
        <is>
          <t>No</t>
        </is>
      </c>
      <c r="M7" s="22" t="n"/>
      <c r="N7" s="20" t="inlineStr">
        <is>
          <t>No</t>
        </is>
      </c>
      <c r="O7" s="20" t="inlineStr">
        <is>
          <t>No</t>
        </is>
      </c>
      <c r="P7" s="22" t="n"/>
      <c r="Q7" s="26" t="inlineStr">
        <is>
          <t>Descarga aún no comprobada</t>
        </is>
      </c>
      <c r="R7" s="23">
        <f>IF(A7="","",IF(I7="","Abierto",IF(D7="Tarjeta",IF(OR(L7&lt;&gt;"Sí",N7&lt;&gt;"Sí",O7&lt;&gt;"Sí"),"Pendiente","Cerrado"),IF(D7="Batería","Cerrado","Revisar"))))</f>
        <v/>
      </c>
      <c r="S7" s="25">
        <f>IF(A7="","",IF(B7="","Falta la sesión",IF(C7="","Falta el soporte",IF(D7="","Soporte no encontrado",IF(COUNTIFS(tblControl[ID del soporte],C7,tblControl[Estado del control],"Abierto")&gt;1,"Soporte asignado más de una vez",IF(F7="","Falta la fecha de salida",IF(AND(I7&lt;&gt;"",I7&lt;F7),"La devolución es anterior a la salida",IF(AND(D7="Batería",G7=""),"Falta la carga de salida",IF(AND(D7="Batería",G7&lt;Resumen!$C$3),"Carga de salida inferior al mínimo",IF(AND(D7="Tarjeta",H7=""),"Falta el espacio libre de salida",IF(AND(D7="Tarjeta",I7&lt;&gt;"",L7&lt;&gt;"Sí"),"Descarga pendiente",IF(AND(D7="Tarjeta",L7="Sí",N7&lt;&gt;"Sí"),"Verificación pendiente",IF(AND(D7="Tarjeta",N7="Sí",O7&lt;&gt;"Sí"),"Borrado pendiente",IF(Q7&lt;&gt;"","Revisar incidencia","Correcto"))))))))))))))</f>
        <v/>
      </c>
      <c r="T7" s="20" t="inlineStr">
        <is>
          <t>Equipo B</t>
        </is>
      </c>
    </row>
    <row r="8" ht="22" customHeight="1">
      <c r="A8" s="20" t="inlineStr">
        <is>
          <t>CTL-0007</t>
        </is>
      </c>
      <c r="B8" s="20" t="inlineStr">
        <is>
          <t>SES-260909</t>
        </is>
      </c>
      <c r="C8" s="20" t="inlineStr">
        <is>
          <t>BAT-001</t>
        </is>
      </c>
      <c r="D8" s="23">
        <f>IF(C8="","",IFERROR(_xlfn.XLOOKUP(C8,tblInventario[ID del soporte],tblInventario[Tipo],""),""))</f>
        <v/>
      </c>
      <c r="E8" s="20" t="inlineStr">
        <is>
          <t>Cámara Gamma</t>
        </is>
      </c>
      <c r="F8" s="22" t="n">
        <v>46273</v>
      </c>
      <c r="G8" s="20" t="n">
        <v>95</v>
      </c>
      <c r="H8" s="21" t="n"/>
      <c r="I8" s="22" t="n"/>
      <c r="J8" s="20" t="n"/>
      <c r="K8" s="21" t="n"/>
      <c r="L8" s="20" t="inlineStr">
        <is>
          <t>No procede</t>
        </is>
      </c>
      <c r="M8" s="22" t="n"/>
      <c r="N8" s="20" t="inlineStr">
        <is>
          <t>No procede</t>
        </is>
      </c>
      <c r="O8" s="20" t="inlineStr">
        <is>
          <t>No procede</t>
        </is>
      </c>
      <c r="P8" s="22" t="n"/>
      <c r="Q8" s="26" t="inlineStr"/>
      <c r="R8" s="23">
        <f>IF(A8="","",IF(I8="","Abierto",IF(D8="Tarjeta",IF(OR(L8&lt;&gt;"Sí",N8&lt;&gt;"Sí",O8&lt;&gt;"Sí"),"Pendiente","Cerrado"),IF(D8="Batería","Cerrado","Revisar"))))</f>
        <v/>
      </c>
      <c r="S8" s="25">
        <f>IF(A8="","",IF(B8="","Falta la sesión",IF(C8="","Falta el soporte",IF(D8="","Soporte no encontrado",IF(COUNTIFS(tblControl[ID del soporte],C8,tblControl[Estado del control],"Abierto")&gt;1,"Soporte asignado más de una vez",IF(F8="","Falta la fecha de salida",IF(AND(I8&lt;&gt;"",I8&lt;F8),"La devolución es anterior a la salida",IF(AND(D8="Batería",G8=""),"Falta la carga de salida",IF(AND(D8="Batería",G8&lt;Resumen!$C$3),"Carga de salida inferior al mínimo",IF(AND(D8="Tarjeta",H8=""),"Falta el espacio libre de salida",IF(AND(D8="Tarjeta",I8&lt;&gt;"",L8&lt;&gt;"Sí"),"Descarga pendiente",IF(AND(D8="Tarjeta",L8="Sí",N8&lt;&gt;"Sí"),"Verificación pendiente",IF(AND(D8="Tarjeta",N8="Sí",O8&lt;&gt;"Sí"),"Borrado pendiente",IF(Q8&lt;&gt;"","Revisar incidencia","Correcto"))))))))))))))</f>
        <v/>
      </c>
      <c r="T8" s="20" t="inlineStr">
        <is>
          <t>Equipo A</t>
        </is>
      </c>
    </row>
    <row r="9" ht="22" customHeight="1">
      <c r="A9" s="20" t="inlineStr">
        <is>
          <t>CTL-0008</t>
        </is>
      </c>
      <c r="B9" s="20" t="inlineStr">
        <is>
          <t>SES-260909</t>
        </is>
      </c>
      <c r="C9" s="20" t="inlineStr">
        <is>
          <t>BAT-005</t>
        </is>
      </c>
      <c r="D9" s="23">
        <f>IF(C9="","",IFERROR(_xlfn.XLOOKUP(C9,tblInventario[ID del soporte],tblInventario[Tipo],""),""))</f>
        <v/>
      </c>
      <c r="E9" s="20" t="inlineStr">
        <is>
          <t>Monitor Gamma</t>
        </is>
      </c>
      <c r="F9" s="22" t="n">
        <v>46273</v>
      </c>
      <c r="G9" s="20" t="n">
        <v>84</v>
      </c>
      <c r="H9" s="21" t="n"/>
      <c r="I9" s="22" t="n"/>
      <c r="J9" s="20" t="n"/>
      <c r="K9" s="21" t="n"/>
      <c r="L9" s="20" t="inlineStr">
        <is>
          <t>No procede</t>
        </is>
      </c>
      <c r="M9" s="22" t="n"/>
      <c r="N9" s="20" t="inlineStr">
        <is>
          <t>No procede</t>
        </is>
      </c>
      <c r="O9" s="20" t="inlineStr">
        <is>
          <t>No procede</t>
        </is>
      </c>
      <c r="P9" s="22" t="n"/>
      <c r="Q9" s="26" t="inlineStr"/>
      <c r="R9" s="23">
        <f>IF(A9="","",IF(I9="","Abierto",IF(D9="Tarjeta",IF(OR(L9&lt;&gt;"Sí",N9&lt;&gt;"Sí",O9&lt;&gt;"Sí"),"Pendiente","Cerrado"),IF(D9="Batería","Cerrado","Revisar"))))</f>
        <v/>
      </c>
      <c r="S9" s="25">
        <f>IF(A9="","",IF(B9="","Falta la sesión",IF(C9="","Falta el soporte",IF(D9="","Soporte no encontrado",IF(COUNTIFS(tblControl[ID del soporte],C9,tblControl[Estado del control],"Abierto")&gt;1,"Soporte asignado más de una vez",IF(F9="","Falta la fecha de salida",IF(AND(I9&lt;&gt;"",I9&lt;F9),"La devolución es anterior a la salida",IF(AND(D9="Batería",G9=""),"Falta la carga de salida",IF(AND(D9="Batería",G9&lt;Resumen!$C$3),"Carga de salida inferior al mínimo",IF(AND(D9="Tarjeta",H9=""),"Falta el espacio libre de salida",IF(AND(D9="Tarjeta",I9&lt;&gt;"",L9&lt;&gt;"Sí"),"Descarga pendiente",IF(AND(D9="Tarjeta",L9="Sí",N9&lt;&gt;"Sí"),"Verificación pendiente",IF(AND(D9="Tarjeta",N9="Sí",O9&lt;&gt;"Sí"),"Borrado pendiente",IF(Q9&lt;&gt;"","Revisar incidencia","Correcto"))))))))))))))</f>
        <v/>
      </c>
      <c r="T9" s="20" t="inlineStr">
        <is>
          <t>Equipo A</t>
        </is>
      </c>
    </row>
    <row r="10" ht="22" customHeight="1">
      <c r="A10" s="20" t="inlineStr">
        <is>
          <t>CTL-0009</t>
        </is>
      </c>
      <c r="B10" s="20" t="inlineStr">
        <is>
          <t>SES-260909</t>
        </is>
      </c>
      <c r="C10" s="20" t="inlineStr">
        <is>
          <t>TAR-003</t>
        </is>
      </c>
      <c r="D10" s="23">
        <f>IF(C10="","",IFERROR(_xlfn.XLOOKUP(C10,tblInventario[ID del soporte],tblInventario[Tipo],""),""))</f>
        <v/>
      </c>
      <c r="E10" s="20" t="inlineStr">
        <is>
          <t>Cámara Gamma</t>
        </is>
      </c>
      <c r="F10" s="22" t="n">
        <v>46273</v>
      </c>
      <c r="G10" s="20" t="n"/>
      <c r="H10" s="21" t="n">
        <v>214</v>
      </c>
      <c r="I10" s="22" t="n"/>
      <c r="J10" s="20" t="n"/>
      <c r="K10" s="21" t="n"/>
      <c r="L10" s="20" t="inlineStr">
        <is>
          <t>No</t>
        </is>
      </c>
      <c r="M10" s="22" t="n"/>
      <c r="N10" s="20" t="inlineStr">
        <is>
          <t>No</t>
        </is>
      </c>
      <c r="O10" s="20" t="inlineStr">
        <is>
          <t>No</t>
        </is>
      </c>
      <c r="P10" s="22" t="n"/>
      <c r="Q10" s="26" t="inlineStr"/>
      <c r="R10" s="23">
        <f>IF(A10="","",IF(I10="","Abierto",IF(D10="Tarjeta",IF(OR(L10&lt;&gt;"Sí",N10&lt;&gt;"Sí",O10&lt;&gt;"Sí"),"Pendiente","Cerrado"),IF(D10="Batería","Cerrado","Revisar"))))</f>
        <v/>
      </c>
      <c r="S10" s="25">
        <f>IF(A10="","",IF(B10="","Falta la sesión",IF(C10="","Falta el soporte",IF(D10="","Soporte no encontrado",IF(COUNTIFS(tblControl[ID del soporte],C10,tblControl[Estado del control],"Abierto")&gt;1,"Soporte asignado más de una vez",IF(F10="","Falta la fecha de salida",IF(AND(I10&lt;&gt;"",I10&lt;F10),"La devolución es anterior a la salida",IF(AND(D10="Batería",G10=""),"Falta la carga de salida",IF(AND(D10="Batería",G10&lt;Resumen!$C$3),"Carga de salida inferior al mínimo",IF(AND(D10="Tarjeta",H10=""),"Falta el espacio libre de salida",IF(AND(D10="Tarjeta",I10&lt;&gt;"",L10&lt;&gt;"Sí"),"Descarga pendiente",IF(AND(D10="Tarjeta",L10="Sí",N10&lt;&gt;"Sí"),"Verificación pendiente",IF(AND(D10="Tarjeta",N10="Sí",O10&lt;&gt;"Sí"),"Borrado pendiente",IF(Q10&lt;&gt;"","Revisar incidencia","Correcto"))))))))))))))</f>
        <v/>
      </c>
      <c r="T10" s="20" t="inlineStr">
        <is>
          <t>Equipo A</t>
        </is>
      </c>
    </row>
    <row r="11" ht="22" customHeight="1">
      <c r="A11" s="20" t="inlineStr">
        <is>
          <t>CTL-0010</t>
        </is>
      </c>
      <c r="B11" s="20" t="inlineStr">
        <is>
          <t>SES-260910</t>
        </is>
      </c>
      <c r="C11" s="20" t="inlineStr">
        <is>
          <t>BAT-002</t>
        </is>
      </c>
      <c r="D11" s="23">
        <f>IF(C11="","",IFERROR(_xlfn.XLOOKUP(C11,tblInventario[ID del soporte],tblInventario[Tipo],""),""))</f>
        <v/>
      </c>
      <c r="E11" s="20" t="inlineStr">
        <is>
          <t>Banco de pruebas</t>
        </is>
      </c>
      <c r="F11" s="22" t="n">
        <v>46273</v>
      </c>
      <c r="G11" s="20" t="n">
        <v>58</v>
      </c>
      <c r="H11" s="21" t="n"/>
      <c r="I11" s="22" t="n"/>
      <c r="J11" s="20" t="n"/>
      <c r="K11" s="21" t="n"/>
      <c r="L11" s="20" t="inlineStr">
        <is>
          <t>No procede</t>
        </is>
      </c>
      <c r="M11" s="22" t="n"/>
      <c r="N11" s="20" t="inlineStr">
        <is>
          <t>No procede</t>
        </is>
      </c>
      <c r="O11" s="20" t="inlineStr">
        <is>
          <t>No procede</t>
        </is>
      </c>
      <c r="P11" s="22" t="n"/>
      <c r="Q11" s="26" t="inlineStr">
        <is>
          <t>Carga inferior al objetivo</t>
        </is>
      </c>
      <c r="R11" s="23">
        <f>IF(A11="","",IF(I11="","Abierto",IF(D11="Tarjeta",IF(OR(L11&lt;&gt;"Sí",N11&lt;&gt;"Sí",O11&lt;&gt;"Sí"),"Pendiente","Cerrado"),IF(D11="Batería","Cerrado","Revisar"))))</f>
        <v/>
      </c>
      <c r="S11" s="25">
        <f>IF(A11="","",IF(B11="","Falta la sesión",IF(C11="","Falta el soporte",IF(D11="","Soporte no encontrado",IF(COUNTIFS(tblControl[ID del soporte],C11,tblControl[Estado del control],"Abierto")&gt;1,"Soporte asignado más de una vez",IF(F11="","Falta la fecha de salida",IF(AND(I11&lt;&gt;"",I11&lt;F11),"La devolución es anterior a la salida",IF(AND(D11="Batería",G11=""),"Falta la carga de salida",IF(AND(D11="Batería",G11&lt;Resumen!$C$3),"Carga de salida inferior al mínimo",IF(AND(D11="Tarjeta",H11=""),"Falta el espacio libre de salida",IF(AND(D11="Tarjeta",I11&lt;&gt;"",L11&lt;&gt;"Sí"),"Descarga pendiente",IF(AND(D11="Tarjeta",L11="Sí",N11&lt;&gt;"Sí"),"Verificación pendiente",IF(AND(D11="Tarjeta",N11="Sí",O11&lt;&gt;"Sí"),"Borrado pendiente",IF(Q11&lt;&gt;"","Revisar incidencia","Correcto"))))))))))))))</f>
        <v/>
      </c>
      <c r="T11" s="20" t="inlineStr">
        <is>
          <t>Equipo técnico</t>
        </is>
      </c>
    </row>
    <row r="12" ht="22" customHeight="1">
      <c r="A12" s="20" t="n"/>
      <c r="B12" s="20" t="n"/>
      <c r="C12" s="20" t="n"/>
      <c r="D12" s="23">
        <f>IF(C12="","",IFERROR(_xlfn.XLOOKUP(C12,tblInventario[ID del soporte],tblInventario[Tipo],""),""))</f>
        <v/>
      </c>
      <c r="E12" s="20" t="n"/>
      <c r="F12" s="22" t="n"/>
      <c r="G12" s="20" t="n"/>
      <c r="H12" s="21" t="n"/>
      <c r="I12" s="22" t="n"/>
      <c r="J12" s="20" t="n"/>
      <c r="K12" s="21" t="n"/>
      <c r="L12" s="20" t="n"/>
      <c r="M12" s="22" t="n"/>
      <c r="N12" s="20" t="n"/>
      <c r="O12" s="20" t="n"/>
      <c r="P12" s="22" t="n"/>
      <c r="Q12" s="26" t="n"/>
      <c r="R12" s="23">
        <f>IF(A12="","",IF(I12="","Abierto",IF(D12="Tarjeta",IF(OR(L12&lt;&gt;"Sí",N12&lt;&gt;"Sí",O12&lt;&gt;"Sí"),"Pendiente","Cerrado"),IF(D12="Batería","Cerrado","Revisar"))))</f>
        <v/>
      </c>
      <c r="S12" s="25">
        <f>IF(A12="","",IF(B12="","Falta la sesión",IF(C12="","Falta el soporte",IF(D12="","Soporte no encontrado",IF(COUNTIFS(tblControl[ID del soporte],C12,tblControl[Estado del control],"Abierto")&gt;1,"Soporte asignado más de una vez",IF(F12="","Falta la fecha de salida",IF(AND(I12&lt;&gt;"",I12&lt;F12),"La devolución es anterior a la salida",IF(AND(D12="Batería",G12=""),"Falta la carga de salida",IF(AND(D12="Batería",G12&lt;Resumen!$C$3),"Carga de salida inferior al mínimo",IF(AND(D12="Tarjeta",H12=""),"Falta el espacio libre de salida",IF(AND(D12="Tarjeta",I12&lt;&gt;"",L12&lt;&gt;"Sí"),"Descarga pendiente",IF(AND(D12="Tarjeta",L12="Sí",N12&lt;&gt;"Sí"),"Verificación pendiente",IF(AND(D12="Tarjeta",N12="Sí",O12&lt;&gt;"Sí"),"Borrado pendiente",IF(Q12&lt;&gt;"","Revisar incidencia","Correcto"))))))))))))))</f>
        <v/>
      </c>
      <c r="T12" s="20" t="n"/>
    </row>
    <row r="13" ht="22" customHeight="1">
      <c r="A13" s="20" t="n"/>
      <c r="B13" s="20" t="n"/>
      <c r="C13" s="20" t="n"/>
      <c r="D13" s="23">
        <f>IF(C13="","",IFERROR(_xlfn.XLOOKUP(C13,tblInventario[ID del soporte],tblInventario[Tipo],""),""))</f>
        <v/>
      </c>
      <c r="E13" s="20" t="n"/>
      <c r="F13" s="22" t="n"/>
      <c r="G13" s="20" t="n"/>
      <c r="H13" s="21" t="n"/>
      <c r="I13" s="22" t="n"/>
      <c r="J13" s="20" t="n"/>
      <c r="K13" s="21" t="n"/>
      <c r="L13" s="20" t="n"/>
      <c r="M13" s="22" t="n"/>
      <c r="N13" s="20" t="n"/>
      <c r="O13" s="20" t="n"/>
      <c r="P13" s="22" t="n"/>
      <c r="Q13" s="26" t="n"/>
      <c r="R13" s="23">
        <f>IF(A13="","",IF(I13="","Abierto",IF(D13="Tarjeta",IF(OR(L13&lt;&gt;"Sí",N13&lt;&gt;"Sí",O13&lt;&gt;"Sí"),"Pendiente","Cerrado"),IF(D13="Batería","Cerrado","Revisar"))))</f>
        <v/>
      </c>
      <c r="S13" s="25">
        <f>IF(A13="","",IF(B13="","Falta la sesión",IF(C13="","Falta el soporte",IF(D13="","Soporte no encontrado",IF(COUNTIFS(tblControl[ID del soporte],C13,tblControl[Estado del control],"Abierto")&gt;1,"Soporte asignado más de una vez",IF(F13="","Falta la fecha de salida",IF(AND(I13&lt;&gt;"",I13&lt;F13),"La devolución es anterior a la salida",IF(AND(D13="Batería",G13=""),"Falta la carga de salida",IF(AND(D13="Batería",G13&lt;Resumen!$C$3),"Carga de salida inferior al mínimo",IF(AND(D13="Tarjeta",H13=""),"Falta el espacio libre de salida",IF(AND(D13="Tarjeta",I13&lt;&gt;"",L13&lt;&gt;"Sí"),"Descarga pendiente",IF(AND(D13="Tarjeta",L13="Sí",N13&lt;&gt;"Sí"),"Verificación pendiente",IF(AND(D13="Tarjeta",N13="Sí",O13&lt;&gt;"Sí"),"Borrado pendiente",IF(Q13&lt;&gt;"","Revisar incidencia","Correcto"))))))))))))))</f>
        <v/>
      </c>
      <c r="T13" s="20" t="n"/>
    </row>
    <row r="14" ht="22" customHeight="1">
      <c r="A14" s="20" t="n"/>
      <c r="B14" s="20" t="n"/>
      <c r="C14" s="20" t="n"/>
      <c r="D14" s="23">
        <f>IF(C14="","",IFERROR(_xlfn.XLOOKUP(C14,tblInventario[ID del soporte],tblInventario[Tipo],""),""))</f>
        <v/>
      </c>
      <c r="E14" s="20" t="n"/>
      <c r="F14" s="22" t="n"/>
      <c r="G14" s="20" t="n"/>
      <c r="H14" s="21" t="n"/>
      <c r="I14" s="22" t="n"/>
      <c r="J14" s="20" t="n"/>
      <c r="K14" s="21" t="n"/>
      <c r="L14" s="20" t="n"/>
      <c r="M14" s="22" t="n"/>
      <c r="N14" s="20" t="n"/>
      <c r="O14" s="20" t="n"/>
      <c r="P14" s="22" t="n"/>
      <c r="Q14" s="26" t="n"/>
      <c r="R14" s="23">
        <f>IF(A14="","",IF(I14="","Abierto",IF(D14="Tarjeta",IF(OR(L14&lt;&gt;"Sí",N14&lt;&gt;"Sí",O14&lt;&gt;"Sí"),"Pendiente","Cerrado"),IF(D14="Batería","Cerrado","Revisar"))))</f>
        <v/>
      </c>
      <c r="S14" s="25">
        <f>IF(A14="","",IF(B14="","Falta la sesión",IF(C14="","Falta el soporte",IF(D14="","Soporte no encontrado",IF(COUNTIFS(tblControl[ID del soporte],C14,tblControl[Estado del control],"Abierto")&gt;1,"Soporte asignado más de una vez",IF(F14="","Falta la fecha de salida",IF(AND(I14&lt;&gt;"",I14&lt;F14),"La devolución es anterior a la salida",IF(AND(D14="Batería",G14=""),"Falta la carga de salida",IF(AND(D14="Batería",G14&lt;Resumen!$C$3),"Carga de salida inferior al mínimo",IF(AND(D14="Tarjeta",H14=""),"Falta el espacio libre de salida",IF(AND(D14="Tarjeta",I14&lt;&gt;"",L14&lt;&gt;"Sí"),"Descarga pendiente",IF(AND(D14="Tarjeta",L14="Sí",N14&lt;&gt;"Sí"),"Verificación pendiente",IF(AND(D14="Tarjeta",N14="Sí",O14&lt;&gt;"Sí"),"Borrado pendiente",IF(Q14&lt;&gt;"","Revisar incidencia","Correcto"))))))))))))))</f>
        <v/>
      </c>
      <c r="T14" s="20" t="n"/>
    </row>
    <row r="15" ht="22" customHeight="1">
      <c r="A15" s="20" t="n"/>
      <c r="B15" s="20" t="n"/>
      <c r="C15" s="20" t="n"/>
      <c r="D15" s="23">
        <f>IF(C15="","",IFERROR(_xlfn.XLOOKUP(C15,tblInventario[ID del soporte],tblInventario[Tipo],""),""))</f>
        <v/>
      </c>
      <c r="E15" s="20" t="n"/>
      <c r="F15" s="22" t="n"/>
      <c r="G15" s="20" t="n"/>
      <c r="H15" s="21" t="n"/>
      <c r="I15" s="22" t="n"/>
      <c r="J15" s="20" t="n"/>
      <c r="K15" s="21" t="n"/>
      <c r="L15" s="20" t="n"/>
      <c r="M15" s="22" t="n"/>
      <c r="N15" s="20" t="n"/>
      <c r="O15" s="20" t="n"/>
      <c r="P15" s="22" t="n"/>
      <c r="Q15" s="26" t="n"/>
      <c r="R15" s="23">
        <f>IF(A15="","",IF(I15="","Abierto",IF(D15="Tarjeta",IF(OR(L15&lt;&gt;"Sí",N15&lt;&gt;"Sí",O15&lt;&gt;"Sí"),"Pendiente","Cerrado"),IF(D15="Batería","Cerrado","Revisar"))))</f>
        <v/>
      </c>
      <c r="S15" s="25">
        <f>IF(A15="","",IF(B15="","Falta la sesión",IF(C15="","Falta el soporte",IF(D15="","Soporte no encontrado",IF(COUNTIFS(tblControl[ID del soporte],C15,tblControl[Estado del control],"Abierto")&gt;1,"Soporte asignado más de una vez",IF(F15="","Falta la fecha de salida",IF(AND(I15&lt;&gt;"",I15&lt;F15),"La devolución es anterior a la salida",IF(AND(D15="Batería",G15=""),"Falta la carga de salida",IF(AND(D15="Batería",G15&lt;Resumen!$C$3),"Carga de salida inferior al mínimo",IF(AND(D15="Tarjeta",H15=""),"Falta el espacio libre de salida",IF(AND(D15="Tarjeta",I15&lt;&gt;"",L15&lt;&gt;"Sí"),"Descarga pendiente",IF(AND(D15="Tarjeta",L15="Sí",N15&lt;&gt;"Sí"),"Verificación pendiente",IF(AND(D15="Tarjeta",N15="Sí",O15&lt;&gt;"Sí"),"Borrado pendiente",IF(Q15&lt;&gt;"","Revisar incidencia","Correcto"))))))))))))))</f>
        <v/>
      </c>
      <c r="T15" s="20" t="n"/>
    </row>
    <row r="16" ht="22" customHeight="1">
      <c r="A16" s="20" t="n"/>
      <c r="B16" s="20" t="n"/>
      <c r="C16" s="20" t="n"/>
      <c r="D16" s="23">
        <f>IF(C16="","",IFERROR(_xlfn.XLOOKUP(C16,tblInventario[ID del soporte],tblInventario[Tipo],""),""))</f>
        <v/>
      </c>
      <c r="E16" s="20" t="n"/>
      <c r="F16" s="22" t="n"/>
      <c r="G16" s="20" t="n"/>
      <c r="H16" s="21" t="n"/>
      <c r="I16" s="22" t="n"/>
      <c r="J16" s="20" t="n"/>
      <c r="K16" s="21" t="n"/>
      <c r="L16" s="20" t="n"/>
      <c r="M16" s="22" t="n"/>
      <c r="N16" s="20" t="n"/>
      <c r="O16" s="20" t="n"/>
      <c r="P16" s="22" t="n"/>
      <c r="Q16" s="26" t="n"/>
      <c r="R16" s="23">
        <f>IF(A16="","",IF(I16="","Abierto",IF(D16="Tarjeta",IF(OR(L16&lt;&gt;"Sí",N16&lt;&gt;"Sí",O16&lt;&gt;"Sí"),"Pendiente","Cerrado"),IF(D16="Batería","Cerrado","Revisar"))))</f>
        <v/>
      </c>
      <c r="S16" s="25">
        <f>IF(A16="","",IF(B16="","Falta la sesión",IF(C16="","Falta el soporte",IF(D16="","Soporte no encontrado",IF(COUNTIFS(tblControl[ID del soporte],C16,tblControl[Estado del control],"Abierto")&gt;1,"Soporte asignado más de una vez",IF(F16="","Falta la fecha de salida",IF(AND(I16&lt;&gt;"",I16&lt;F16),"La devolución es anterior a la salida",IF(AND(D16="Batería",G16=""),"Falta la carga de salida",IF(AND(D16="Batería",G16&lt;Resumen!$C$3),"Carga de salida inferior al mínimo",IF(AND(D16="Tarjeta",H16=""),"Falta el espacio libre de salida",IF(AND(D16="Tarjeta",I16&lt;&gt;"",L16&lt;&gt;"Sí"),"Descarga pendiente",IF(AND(D16="Tarjeta",L16="Sí",N16&lt;&gt;"Sí"),"Verificación pendiente",IF(AND(D16="Tarjeta",N16="Sí",O16&lt;&gt;"Sí"),"Borrado pendiente",IF(Q16&lt;&gt;"","Revisar incidencia","Correcto"))))))))))))))</f>
        <v/>
      </c>
      <c r="T16" s="20" t="n"/>
    </row>
    <row r="17" ht="22" customHeight="1">
      <c r="A17" s="20" t="n"/>
      <c r="B17" s="20" t="n"/>
      <c r="C17" s="20" t="n"/>
      <c r="D17" s="23">
        <f>IF(C17="","",IFERROR(_xlfn.XLOOKUP(C17,tblInventario[ID del soporte],tblInventario[Tipo],""),""))</f>
        <v/>
      </c>
      <c r="E17" s="20" t="n"/>
      <c r="F17" s="22" t="n"/>
      <c r="G17" s="20" t="n"/>
      <c r="H17" s="21" t="n"/>
      <c r="I17" s="22" t="n"/>
      <c r="J17" s="20" t="n"/>
      <c r="K17" s="21" t="n"/>
      <c r="L17" s="20" t="n"/>
      <c r="M17" s="22" t="n"/>
      <c r="N17" s="20" t="n"/>
      <c r="O17" s="20" t="n"/>
      <c r="P17" s="22" t="n"/>
      <c r="Q17" s="26" t="n"/>
      <c r="R17" s="23">
        <f>IF(A17="","",IF(I17="","Abierto",IF(D17="Tarjeta",IF(OR(L17&lt;&gt;"Sí",N17&lt;&gt;"Sí",O17&lt;&gt;"Sí"),"Pendiente","Cerrado"),IF(D17="Batería","Cerrado","Revisar"))))</f>
        <v/>
      </c>
      <c r="S17" s="25">
        <f>IF(A17="","",IF(B17="","Falta la sesión",IF(C17="","Falta el soporte",IF(D17="","Soporte no encontrado",IF(COUNTIFS(tblControl[ID del soporte],C17,tblControl[Estado del control],"Abierto")&gt;1,"Soporte asignado más de una vez",IF(F17="","Falta la fecha de salida",IF(AND(I17&lt;&gt;"",I17&lt;F17),"La devolución es anterior a la salida",IF(AND(D17="Batería",G17=""),"Falta la carga de salida",IF(AND(D17="Batería",G17&lt;Resumen!$C$3),"Carga de salida inferior al mínimo",IF(AND(D17="Tarjeta",H17=""),"Falta el espacio libre de salida",IF(AND(D17="Tarjeta",I17&lt;&gt;"",L17&lt;&gt;"Sí"),"Descarga pendiente",IF(AND(D17="Tarjeta",L17="Sí",N17&lt;&gt;"Sí"),"Verificación pendiente",IF(AND(D17="Tarjeta",N17="Sí",O17&lt;&gt;"Sí"),"Borrado pendiente",IF(Q17&lt;&gt;"","Revisar incidencia","Correcto"))))))))))))))</f>
        <v/>
      </c>
      <c r="T17" s="20" t="n"/>
    </row>
    <row r="18" ht="22" customHeight="1">
      <c r="A18" s="20" t="n"/>
      <c r="B18" s="20" t="n"/>
      <c r="C18" s="20" t="n"/>
      <c r="D18" s="23">
        <f>IF(C18="","",IFERROR(_xlfn.XLOOKUP(C18,tblInventario[ID del soporte],tblInventario[Tipo],""),""))</f>
        <v/>
      </c>
      <c r="E18" s="20" t="n"/>
      <c r="F18" s="22" t="n"/>
      <c r="G18" s="20" t="n"/>
      <c r="H18" s="21" t="n"/>
      <c r="I18" s="22" t="n"/>
      <c r="J18" s="20" t="n"/>
      <c r="K18" s="21" t="n"/>
      <c r="L18" s="20" t="n"/>
      <c r="M18" s="22" t="n"/>
      <c r="N18" s="20" t="n"/>
      <c r="O18" s="20" t="n"/>
      <c r="P18" s="22" t="n"/>
      <c r="Q18" s="26" t="n"/>
      <c r="R18" s="23">
        <f>IF(A18="","",IF(I18="","Abierto",IF(D18="Tarjeta",IF(OR(L18&lt;&gt;"Sí",N18&lt;&gt;"Sí",O18&lt;&gt;"Sí"),"Pendiente","Cerrado"),IF(D18="Batería","Cerrado","Revisar"))))</f>
        <v/>
      </c>
      <c r="S18" s="25">
        <f>IF(A18="","",IF(B18="","Falta la sesión",IF(C18="","Falta el soporte",IF(D18="","Soporte no encontrado",IF(COUNTIFS(tblControl[ID del soporte],C18,tblControl[Estado del control],"Abierto")&gt;1,"Soporte asignado más de una vez",IF(F18="","Falta la fecha de salida",IF(AND(I18&lt;&gt;"",I18&lt;F18),"La devolución es anterior a la salida",IF(AND(D18="Batería",G18=""),"Falta la carga de salida",IF(AND(D18="Batería",G18&lt;Resumen!$C$3),"Carga de salida inferior al mínimo",IF(AND(D18="Tarjeta",H18=""),"Falta el espacio libre de salida",IF(AND(D18="Tarjeta",I18&lt;&gt;"",L18&lt;&gt;"Sí"),"Descarga pendiente",IF(AND(D18="Tarjeta",L18="Sí",N18&lt;&gt;"Sí"),"Verificación pendiente",IF(AND(D18="Tarjeta",N18="Sí",O18&lt;&gt;"Sí"),"Borrado pendiente",IF(Q18&lt;&gt;"","Revisar incidencia","Correcto"))))))))))))))</f>
        <v/>
      </c>
      <c r="T18" s="20" t="n"/>
    </row>
    <row r="19" ht="22" customHeight="1">
      <c r="A19" s="20" t="n"/>
      <c r="B19" s="20" t="n"/>
      <c r="C19" s="20" t="n"/>
      <c r="D19" s="23">
        <f>IF(C19="","",IFERROR(_xlfn.XLOOKUP(C19,tblInventario[ID del soporte],tblInventario[Tipo],""),""))</f>
        <v/>
      </c>
      <c r="E19" s="20" t="n"/>
      <c r="F19" s="22" t="n"/>
      <c r="G19" s="20" t="n"/>
      <c r="H19" s="21" t="n"/>
      <c r="I19" s="22" t="n"/>
      <c r="J19" s="20" t="n"/>
      <c r="K19" s="21" t="n"/>
      <c r="L19" s="20" t="n"/>
      <c r="M19" s="22" t="n"/>
      <c r="N19" s="20" t="n"/>
      <c r="O19" s="20" t="n"/>
      <c r="P19" s="22" t="n"/>
      <c r="Q19" s="26" t="n"/>
      <c r="R19" s="23">
        <f>IF(A19="","",IF(I19="","Abierto",IF(D19="Tarjeta",IF(OR(L19&lt;&gt;"Sí",N19&lt;&gt;"Sí",O19&lt;&gt;"Sí"),"Pendiente","Cerrado"),IF(D19="Batería","Cerrado","Revisar"))))</f>
        <v/>
      </c>
      <c r="S19" s="25">
        <f>IF(A19="","",IF(B19="","Falta la sesión",IF(C19="","Falta el soporte",IF(D19="","Soporte no encontrado",IF(COUNTIFS(tblControl[ID del soporte],C19,tblControl[Estado del control],"Abierto")&gt;1,"Soporte asignado más de una vez",IF(F19="","Falta la fecha de salida",IF(AND(I19&lt;&gt;"",I19&lt;F19),"La devolución es anterior a la salida",IF(AND(D19="Batería",G19=""),"Falta la carga de salida",IF(AND(D19="Batería",G19&lt;Resumen!$C$3),"Carga de salida inferior al mínimo",IF(AND(D19="Tarjeta",H19=""),"Falta el espacio libre de salida",IF(AND(D19="Tarjeta",I19&lt;&gt;"",L19&lt;&gt;"Sí"),"Descarga pendiente",IF(AND(D19="Tarjeta",L19="Sí",N19&lt;&gt;"Sí"),"Verificación pendiente",IF(AND(D19="Tarjeta",N19="Sí",O19&lt;&gt;"Sí"),"Borrado pendiente",IF(Q19&lt;&gt;"","Revisar incidencia","Correcto"))))))))))))))</f>
        <v/>
      </c>
      <c r="T19" s="20" t="n"/>
    </row>
    <row r="20" ht="22" customHeight="1">
      <c r="A20" s="20" t="n"/>
      <c r="B20" s="20" t="n"/>
      <c r="C20" s="20" t="n"/>
      <c r="D20" s="23">
        <f>IF(C20="","",IFERROR(_xlfn.XLOOKUP(C20,tblInventario[ID del soporte],tblInventario[Tipo],""),""))</f>
        <v/>
      </c>
      <c r="E20" s="20" t="n"/>
      <c r="F20" s="22" t="n"/>
      <c r="G20" s="20" t="n"/>
      <c r="H20" s="21" t="n"/>
      <c r="I20" s="22" t="n"/>
      <c r="J20" s="20" t="n"/>
      <c r="K20" s="21" t="n"/>
      <c r="L20" s="20" t="n"/>
      <c r="M20" s="22" t="n"/>
      <c r="N20" s="20" t="n"/>
      <c r="O20" s="20" t="n"/>
      <c r="P20" s="22" t="n"/>
      <c r="Q20" s="26" t="n"/>
      <c r="R20" s="23">
        <f>IF(A20="","",IF(I20="","Abierto",IF(D20="Tarjeta",IF(OR(L20&lt;&gt;"Sí",N20&lt;&gt;"Sí",O20&lt;&gt;"Sí"),"Pendiente","Cerrado"),IF(D20="Batería","Cerrado","Revisar"))))</f>
        <v/>
      </c>
      <c r="S20" s="25">
        <f>IF(A20="","",IF(B20="","Falta la sesión",IF(C20="","Falta el soporte",IF(D20="","Soporte no encontrado",IF(COUNTIFS(tblControl[ID del soporte],C20,tblControl[Estado del control],"Abierto")&gt;1,"Soporte asignado más de una vez",IF(F20="","Falta la fecha de salida",IF(AND(I20&lt;&gt;"",I20&lt;F20),"La devolución es anterior a la salida",IF(AND(D20="Batería",G20=""),"Falta la carga de salida",IF(AND(D20="Batería",G20&lt;Resumen!$C$3),"Carga de salida inferior al mínimo",IF(AND(D20="Tarjeta",H20=""),"Falta el espacio libre de salida",IF(AND(D20="Tarjeta",I20&lt;&gt;"",L20&lt;&gt;"Sí"),"Descarga pendiente",IF(AND(D20="Tarjeta",L20="Sí",N20&lt;&gt;"Sí"),"Verificación pendiente",IF(AND(D20="Tarjeta",N20="Sí",O20&lt;&gt;"Sí"),"Borrado pendiente",IF(Q20&lt;&gt;"","Revisar incidencia","Correcto"))))))))))))))</f>
        <v/>
      </c>
      <c r="T20" s="20" t="n"/>
    </row>
    <row r="21" ht="22" customHeight="1">
      <c r="A21" s="20" t="n"/>
      <c r="B21" s="20" t="n"/>
      <c r="C21" s="20" t="n"/>
      <c r="D21" s="23">
        <f>IF(C21="","",IFERROR(_xlfn.XLOOKUP(C21,tblInventario[ID del soporte],tblInventario[Tipo],""),""))</f>
        <v/>
      </c>
      <c r="E21" s="20" t="n"/>
      <c r="F21" s="22" t="n"/>
      <c r="G21" s="20" t="n"/>
      <c r="H21" s="21" t="n"/>
      <c r="I21" s="22" t="n"/>
      <c r="J21" s="20" t="n"/>
      <c r="K21" s="21" t="n"/>
      <c r="L21" s="20" t="n"/>
      <c r="M21" s="22" t="n"/>
      <c r="N21" s="20" t="n"/>
      <c r="O21" s="20" t="n"/>
      <c r="P21" s="22" t="n"/>
      <c r="Q21" s="26" t="n"/>
      <c r="R21" s="23">
        <f>IF(A21="","",IF(I21="","Abierto",IF(D21="Tarjeta",IF(OR(L21&lt;&gt;"Sí",N21&lt;&gt;"Sí",O21&lt;&gt;"Sí"),"Pendiente","Cerrado"),IF(D21="Batería","Cerrado","Revisar"))))</f>
        <v/>
      </c>
      <c r="S21" s="25">
        <f>IF(A21="","",IF(B21="","Falta la sesión",IF(C21="","Falta el soporte",IF(D21="","Soporte no encontrado",IF(COUNTIFS(tblControl[ID del soporte],C21,tblControl[Estado del control],"Abierto")&gt;1,"Soporte asignado más de una vez",IF(F21="","Falta la fecha de salida",IF(AND(I21&lt;&gt;"",I21&lt;F21),"La devolución es anterior a la salida",IF(AND(D21="Batería",G21=""),"Falta la carga de salida",IF(AND(D21="Batería",G21&lt;Resumen!$C$3),"Carga de salida inferior al mínimo",IF(AND(D21="Tarjeta",H21=""),"Falta el espacio libre de salida",IF(AND(D21="Tarjeta",I21&lt;&gt;"",L21&lt;&gt;"Sí"),"Descarga pendiente",IF(AND(D21="Tarjeta",L21="Sí",N21&lt;&gt;"Sí"),"Verificación pendiente",IF(AND(D21="Tarjeta",N21="Sí",O21&lt;&gt;"Sí"),"Borrado pendiente",IF(Q21&lt;&gt;"","Revisar incidencia","Correcto"))))))))))))))</f>
        <v/>
      </c>
      <c r="T21" s="20" t="n"/>
    </row>
    <row r="22" ht="22" customHeight="1">
      <c r="A22" s="20" t="n"/>
      <c r="B22" s="20" t="n"/>
      <c r="C22" s="20" t="n"/>
      <c r="D22" s="23">
        <f>IF(C22="","",IFERROR(_xlfn.XLOOKUP(C22,tblInventario[ID del soporte],tblInventario[Tipo],""),""))</f>
        <v/>
      </c>
      <c r="E22" s="20" t="n"/>
      <c r="F22" s="22" t="n"/>
      <c r="G22" s="20" t="n"/>
      <c r="H22" s="21" t="n"/>
      <c r="I22" s="22" t="n"/>
      <c r="J22" s="20" t="n"/>
      <c r="K22" s="21" t="n"/>
      <c r="L22" s="20" t="n"/>
      <c r="M22" s="22" t="n"/>
      <c r="N22" s="20" t="n"/>
      <c r="O22" s="20" t="n"/>
      <c r="P22" s="22" t="n"/>
      <c r="Q22" s="26" t="n"/>
      <c r="R22" s="23">
        <f>IF(A22="","",IF(I22="","Abierto",IF(D22="Tarjeta",IF(OR(L22&lt;&gt;"Sí",N22&lt;&gt;"Sí",O22&lt;&gt;"Sí"),"Pendiente","Cerrado"),IF(D22="Batería","Cerrado","Revisar"))))</f>
        <v/>
      </c>
      <c r="S22" s="25">
        <f>IF(A22="","",IF(B22="","Falta la sesión",IF(C22="","Falta el soporte",IF(D22="","Soporte no encontrado",IF(COUNTIFS(tblControl[ID del soporte],C22,tblControl[Estado del control],"Abierto")&gt;1,"Soporte asignado más de una vez",IF(F22="","Falta la fecha de salida",IF(AND(I22&lt;&gt;"",I22&lt;F22),"La devolución es anterior a la salida",IF(AND(D22="Batería",G22=""),"Falta la carga de salida",IF(AND(D22="Batería",G22&lt;Resumen!$C$3),"Carga de salida inferior al mínimo",IF(AND(D22="Tarjeta",H22=""),"Falta el espacio libre de salida",IF(AND(D22="Tarjeta",I22&lt;&gt;"",L22&lt;&gt;"Sí"),"Descarga pendiente",IF(AND(D22="Tarjeta",L22="Sí",N22&lt;&gt;"Sí"),"Verificación pendiente",IF(AND(D22="Tarjeta",N22="Sí",O22&lt;&gt;"Sí"),"Borrado pendiente",IF(Q22&lt;&gt;"","Revisar incidencia","Correcto"))))))))))))))</f>
        <v/>
      </c>
      <c r="T22" s="20" t="n"/>
    </row>
    <row r="23" ht="22" customHeight="1">
      <c r="A23" s="20" t="n"/>
      <c r="B23" s="20" t="n"/>
      <c r="C23" s="20" t="n"/>
      <c r="D23" s="23">
        <f>IF(C23="","",IFERROR(_xlfn.XLOOKUP(C23,tblInventario[ID del soporte],tblInventario[Tipo],""),""))</f>
        <v/>
      </c>
      <c r="E23" s="20" t="n"/>
      <c r="F23" s="22" t="n"/>
      <c r="G23" s="20" t="n"/>
      <c r="H23" s="21" t="n"/>
      <c r="I23" s="22" t="n"/>
      <c r="J23" s="20" t="n"/>
      <c r="K23" s="21" t="n"/>
      <c r="L23" s="20" t="n"/>
      <c r="M23" s="22" t="n"/>
      <c r="N23" s="20" t="n"/>
      <c r="O23" s="20" t="n"/>
      <c r="P23" s="22" t="n"/>
      <c r="Q23" s="26" t="n"/>
      <c r="R23" s="23">
        <f>IF(A23="","",IF(I23="","Abierto",IF(D23="Tarjeta",IF(OR(L23&lt;&gt;"Sí",N23&lt;&gt;"Sí",O23&lt;&gt;"Sí"),"Pendiente","Cerrado"),IF(D23="Batería","Cerrado","Revisar"))))</f>
        <v/>
      </c>
      <c r="S23" s="25">
        <f>IF(A23="","",IF(B23="","Falta la sesión",IF(C23="","Falta el soporte",IF(D23="","Soporte no encontrado",IF(COUNTIFS(tblControl[ID del soporte],C23,tblControl[Estado del control],"Abierto")&gt;1,"Soporte asignado más de una vez",IF(F23="","Falta la fecha de salida",IF(AND(I23&lt;&gt;"",I23&lt;F23),"La devolución es anterior a la salida",IF(AND(D23="Batería",G23=""),"Falta la carga de salida",IF(AND(D23="Batería",G23&lt;Resumen!$C$3),"Carga de salida inferior al mínimo",IF(AND(D23="Tarjeta",H23=""),"Falta el espacio libre de salida",IF(AND(D23="Tarjeta",I23&lt;&gt;"",L23&lt;&gt;"Sí"),"Descarga pendiente",IF(AND(D23="Tarjeta",L23="Sí",N23&lt;&gt;"Sí"),"Verificación pendiente",IF(AND(D23="Tarjeta",N23="Sí",O23&lt;&gt;"Sí"),"Borrado pendiente",IF(Q23&lt;&gt;"","Revisar incidencia","Correcto"))))))))))))))</f>
        <v/>
      </c>
      <c r="T23" s="20" t="n"/>
    </row>
    <row r="24" ht="22" customHeight="1">
      <c r="A24" s="20" t="n"/>
      <c r="B24" s="20" t="n"/>
      <c r="C24" s="20" t="n"/>
      <c r="D24" s="23">
        <f>IF(C24="","",IFERROR(_xlfn.XLOOKUP(C24,tblInventario[ID del soporte],tblInventario[Tipo],""),""))</f>
        <v/>
      </c>
      <c r="E24" s="20" t="n"/>
      <c r="F24" s="22" t="n"/>
      <c r="G24" s="20" t="n"/>
      <c r="H24" s="21" t="n"/>
      <c r="I24" s="22" t="n"/>
      <c r="J24" s="20" t="n"/>
      <c r="K24" s="21" t="n"/>
      <c r="L24" s="20" t="n"/>
      <c r="M24" s="22" t="n"/>
      <c r="N24" s="20" t="n"/>
      <c r="O24" s="20" t="n"/>
      <c r="P24" s="22" t="n"/>
      <c r="Q24" s="26" t="n"/>
      <c r="R24" s="23">
        <f>IF(A24="","",IF(I24="","Abierto",IF(D24="Tarjeta",IF(OR(L24&lt;&gt;"Sí",N24&lt;&gt;"Sí",O24&lt;&gt;"Sí"),"Pendiente","Cerrado"),IF(D24="Batería","Cerrado","Revisar"))))</f>
        <v/>
      </c>
      <c r="S24" s="25">
        <f>IF(A24="","",IF(B24="","Falta la sesión",IF(C24="","Falta el soporte",IF(D24="","Soporte no encontrado",IF(COUNTIFS(tblControl[ID del soporte],C24,tblControl[Estado del control],"Abierto")&gt;1,"Soporte asignado más de una vez",IF(F24="","Falta la fecha de salida",IF(AND(I24&lt;&gt;"",I24&lt;F24),"La devolución es anterior a la salida",IF(AND(D24="Batería",G24=""),"Falta la carga de salida",IF(AND(D24="Batería",G24&lt;Resumen!$C$3),"Carga de salida inferior al mínimo",IF(AND(D24="Tarjeta",H24=""),"Falta el espacio libre de salida",IF(AND(D24="Tarjeta",I24&lt;&gt;"",L24&lt;&gt;"Sí"),"Descarga pendiente",IF(AND(D24="Tarjeta",L24="Sí",N24&lt;&gt;"Sí"),"Verificación pendiente",IF(AND(D24="Tarjeta",N24="Sí",O24&lt;&gt;"Sí"),"Borrado pendiente",IF(Q24&lt;&gt;"","Revisar incidencia","Correcto"))))))))))))))</f>
        <v/>
      </c>
      <c r="T24" s="20" t="n"/>
    </row>
    <row r="25" ht="22" customHeight="1">
      <c r="A25" s="20" t="n"/>
      <c r="B25" s="20" t="n"/>
      <c r="C25" s="20" t="n"/>
      <c r="D25" s="23">
        <f>IF(C25="","",IFERROR(_xlfn.XLOOKUP(C25,tblInventario[ID del soporte],tblInventario[Tipo],""),""))</f>
        <v/>
      </c>
      <c r="E25" s="20" t="n"/>
      <c r="F25" s="22" t="n"/>
      <c r="G25" s="20" t="n"/>
      <c r="H25" s="21" t="n"/>
      <c r="I25" s="22" t="n"/>
      <c r="J25" s="20" t="n"/>
      <c r="K25" s="21" t="n"/>
      <c r="L25" s="20" t="n"/>
      <c r="M25" s="22" t="n"/>
      <c r="N25" s="20" t="n"/>
      <c r="O25" s="20" t="n"/>
      <c r="P25" s="22" t="n"/>
      <c r="Q25" s="26" t="n"/>
      <c r="R25" s="23">
        <f>IF(A25="","",IF(I25="","Abierto",IF(D25="Tarjeta",IF(OR(L25&lt;&gt;"Sí",N25&lt;&gt;"Sí",O25&lt;&gt;"Sí"),"Pendiente","Cerrado"),IF(D25="Batería","Cerrado","Revisar"))))</f>
        <v/>
      </c>
      <c r="S25" s="25">
        <f>IF(A25="","",IF(B25="","Falta la sesión",IF(C25="","Falta el soporte",IF(D25="","Soporte no encontrado",IF(COUNTIFS(tblControl[ID del soporte],C25,tblControl[Estado del control],"Abierto")&gt;1,"Soporte asignado más de una vez",IF(F25="","Falta la fecha de salida",IF(AND(I25&lt;&gt;"",I25&lt;F25),"La devolución es anterior a la salida",IF(AND(D25="Batería",G25=""),"Falta la carga de salida",IF(AND(D25="Batería",G25&lt;Resumen!$C$3),"Carga de salida inferior al mínimo",IF(AND(D25="Tarjeta",H25=""),"Falta el espacio libre de salida",IF(AND(D25="Tarjeta",I25&lt;&gt;"",L25&lt;&gt;"Sí"),"Descarga pendiente",IF(AND(D25="Tarjeta",L25="Sí",N25&lt;&gt;"Sí"),"Verificación pendiente",IF(AND(D25="Tarjeta",N25="Sí",O25&lt;&gt;"Sí"),"Borrado pendiente",IF(Q25&lt;&gt;"","Revisar incidencia","Correcto"))))))))))))))</f>
        <v/>
      </c>
      <c r="T25" s="20" t="n"/>
    </row>
    <row r="26" ht="22" customHeight="1">
      <c r="A26" s="20" t="n"/>
      <c r="B26" s="20" t="n"/>
      <c r="C26" s="20" t="n"/>
      <c r="D26" s="23">
        <f>IF(C26="","",IFERROR(_xlfn.XLOOKUP(C26,tblInventario[ID del soporte],tblInventario[Tipo],""),""))</f>
        <v/>
      </c>
      <c r="E26" s="20" t="n"/>
      <c r="F26" s="22" t="n"/>
      <c r="G26" s="20" t="n"/>
      <c r="H26" s="21" t="n"/>
      <c r="I26" s="22" t="n"/>
      <c r="J26" s="20" t="n"/>
      <c r="K26" s="21" t="n"/>
      <c r="L26" s="20" t="n"/>
      <c r="M26" s="22" t="n"/>
      <c r="N26" s="20" t="n"/>
      <c r="O26" s="20" t="n"/>
      <c r="P26" s="22" t="n"/>
      <c r="Q26" s="26" t="n"/>
      <c r="R26" s="23">
        <f>IF(A26="","",IF(I26="","Abierto",IF(D26="Tarjeta",IF(OR(L26&lt;&gt;"Sí",N26&lt;&gt;"Sí",O26&lt;&gt;"Sí"),"Pendiente","Cerrado"),IF(D26="Batería","Cerrado","Revisar"))))</f>
        <v/>
      </c>
      <c r="S26" s="25">
        <f>IF(A26="","",IF(B26="","Falta la sesión",IF(C26="","Falta el soporte",IF(D26="","Soporte no encontrado",IF(COUNTIFS(tblControl[ID del soporte],C26,tblControl[Estado del control],"Abierto")&gt;1,"Soporte asignado más de una vez",IF(F26="","Falta la fecha de salida",IF(AND(I26&lt;&gt;"",I26&lt;F26),"La devolución es anterior a la salida",IF(AND(D26="Batería",G26=""),"Falta la carga de salida",IF(AND(D26="Batería",G26&lt;Resumen!$C$3),"Carga de salida inferior al mínimo",IF(AND(D26="Tarjeta",H26=""),"Falta el espacio libre de salida",IF(AND(D26="Tarjeta",I26&lt;&gt;"",L26&lt;&gt;"Sí"),"Descarga pendiente",IF(AND(D26="Tarjeta",L26="Sí",N26&lt;&gt;"Sí"),"Verificación pendiente",IF(AND(D26="Tarjeta",N26="Sí",O26&lt;&gt;"Sí"),"Borrado pendiente",IF(Q26&lt;&gt;"","Revisar incidencia","Correcto"))))))))))))))</f>
        <v/>
      </c>
      <c r="T26" s="20" t="n"/>
    </row>
    <row r="27" ht="22" customHeight="1">
      <c r="A27" s="20" t="n"/>
      <c r="B27" s="20" t="n"/>
      <c r="C27" s="20" t="n"/>
      <c r="D27" s="23">
        <f>IF(C27="","",IFERROR(_xlfn.XLOOKUP(C27,tblInventario[ID del soporte],tblInventario[Tipo],""),""))</f>
        <v/>
      </c>
      <c r="E27" s="20" t="n"/>
      <c r="F27" s="22" t="n"/>
      <c r="G27" s="20" t="n"/>
      <c r="H27" s="21" t="n"/>
      <c r="I27" s="22" t="n"/>
      <c r="J27" s="20" t="n"/>
      <c r="K27" s="21" t="n"/>
      <c r="L27" s="20" t="n"/>
      <c r="M27" s="22" t="n"/>
      <c r="N27" s="20" t="n"/>
      <c r="O27" s="20" t="n"/>
      <c r="P27" s="22" t="n"/>
      <c r="Q27" s="26" t="n"/>
      <c r="R27" s="23">
        <f>IF(A27="","",IF(I27="","Abierto",IF(D27="Tarjeta",IF(OR(L27&lt;&gt;"Sí",N27&lt;&gt;"Sí",O27&lt;&gt;"Sí"),"Pendiente","Cerrado"),IF(D27="Batería","Cerrado","Revisar"))))</f>
        <v/>
      </c>
      <c r="S27" s="25">
        <f>IF(A27="","",IF(B27="","Falta la sesión",IF(C27="","Falta el soporte",IF(D27="","Soporte no encontrado",IF(COUNTIFS(tblControl[ID del soporte],C27,tblControl[Estado del control],"Abierto")&gt;1,"Soporte asignado más de una vez",IF(F27="","Falta la fecha de salida",IF(AND(I27&lt;&gt;"",I27&lt;F27),"La devolución es anterior a la salida",IF(AND(D27="Batería",G27=""),"Falta la carga de salida",IF(AND(D27="Batería",G27&lt;Resumen!$C$3),"Carga de salida inferior al mínimo",IF(AND(D27="Tarjeta",H27=""),"Falta el espacio libre de salida",IF(AND(D27="Tarjeta",I27&lt;&gt;"",L27&lt;&gt;"Sí"),"Descarga pendiente",IF(AND(D27="Tarjeta",L27="Sí",N27&lt;&gt;"Sí"),"Verificación pendiente",IF(AND(D27="Tarjeta",N27="Sí",O27&lt;&gt;"Sí"),"Borrado pendiente",IF(Q27&lt;&gt;"","Revisar incidencia","Correcto"))))))))))))))</f>
        <v/>
      </c>
      <c r="T27" s="20" t="n"/>
    </row>
    <row r="28" ht="22" customHeight="1">
      <c r="A28" s="20" t="n"/>
      <c r="B28" s="20" t="n"/>
      <c r="C28" s="20" t="n"/>
      <c r="D28" s="23">
        <f>IF(C28="","",IFERROR(_xlfn.XLOOKUP(C28,tblInventario[ID del soporte],tblInventario[Tipo],""),""))</f>
        <v/>
      </c>
      <c r="E28" s="20" t="n"/>
      <c r="F28" s="22" t="n"/>
      <c r="G28" s="20" t="n"/>
      <c r="H28" s="21" t="n"/>
      <c r="I28" s="22" t="n"/>
      <c r="J28" s="20" t="n"/>
      <c r="K28" s="21" t="n"/>
      <c r="L28" s="20" t="n"/>
      <c r="M28" s="22" t="n"/>
      <c r="N28" s="20" t="n"/>
      <c r="O28" s="20" t="n"/>
      <c r="P28" s="22" t="n"/>
      <c r="Q28" s="26" t="n"/>
      <c r="R28" s="23">
        <f>IF(A28="","",IF(I28="","Abierto",IF(D28="Tarjeta",IF(OR(L28&lt;&gt;"Sí",N28&lt;&gt;"Sí",O28&lt;&gt;"Sí"),"Pendiente","Cerrado"),IF(D28="Batería","Cerrado","Revisar"))))</f>
        <v/>
      </c>
      <c r="S28" s="25">
        <f>IF(A28="","",IF(B28="","Falta la sesión",IF(C28="","Falta el soporte",IF(D28="","Soporte no encontrado",IF(COUNTIFS(tblControl[ID del soporte],C28,tblControl[Estado del control],"Abierto")&gt;1,"Soporte asignado más de una vez",IF(F28="","Falta la fecha de salida",IF(AND(I28&lt;&gt;"",I28&lt;F28),"La devolución es anterior a la salida",IF(AND(D28="Batería",G28=""),"Falta la carga de salida",IF(AND(D28="Batería",G28&lt;Resumen!$C$3),"Carga de salida inferior al mínimo",IF(AND(D28="Tarjeta",H28=""),"Falta el espacio libre de salida",IF(AND(D28="Tarjeta",I28&lt;&gt;"",L28&lt;&gt;"Sí"),"Descarga pendiente",IF(AND(D28="Tarjeta",L28="Sí",N28&lt;&gt;"Sí"),"Verificación pendiente",IF(AND(D28="Tarjeta",N28="Sí",O28&lt;&gt;"Sí"),"Borrado pendiente",IF(Q28&lt;&gt;"","Revisar incidencia","Correcto"))))))))))))))</f>
        <v/>
      </c>
      <c r="T28" s="20" t="n"/>
    </row>
    <row r="29" ht="22" customHeight="1">
      <c r="A29" s="20" t="n"/>
      <c r="B29" s="20" t="n"/>
      <c r="C29" s="20" t="n"/>
      <c r="D29" s="23">
        <f>IF(C29="","",IFERROR(_xlfn.XLOOKUP(C29,tblInventario[ID del soporte],tblInventario[Tipo],""),""))</f>
        <v/>
      </c>
      <c r="E29" s="20" t="n"/>
      <c r="F29" s="22" t="n"/>
      <c r="G29" s="20" t="n"/>
      <c r="H29" s="21" t="n"/>
      <c r="I29" s="22" t="n"/>
      <c r="J29" s="20" t="n"/>
      <c r="K29" s="21" t="n"/>
      <c r="L29" s="20" t="n"/>
      <c r="M29" s="22" t="n"/>
      <c r="N29" s="20" t="n"/>
      <c r="O29" s="20" t="n"/>
      <c r="P29" s="22" t="n"/>
      <c r="Q29" s="26" t="n"/>
      <c r="R29" s="23">
        <f>IF(A29="","",IF(I29="","Abierto",IF(D29="Tarjeta",IF(OR(L29&lt;&gt;"Sí",N29&lt;&gt;"Sí",O29&lt;&gt;"Sí"),"Pendiente","Cerrado"),IF(D29="Batería","Cerrado","Revisar"))))</f>
        <v/>
      </c>
      <c r="S29" s="25">
        <f>IF(A29="","",IF(B29="","Falta la sesión",IF(C29="","Falta el soporte",IF(D29="","Soporte no encontrado",IF(COUNTIFS(tblControl[ID del soporte],C29,tblControl[Estado del control],"Abierto")&gt;1,"Soporte asignado más de una vez",IF(F29="","Falta la fecha de salida",IF(AND(I29&lt;&gt;"",I29&lt;F29),"La devolución es anterior a la salida",IF(AND(D29="Batería",G29=""),"Falta la carga de salida",IF(AND(D29="Batería",G29&lt;Resumen!$C$3),"Carga de salida inferior al mínimo",IF(AND(D29="Tarjeta",H29=""),"Falta el espacio libre de salida",IF(AND(D29="Tarjeta",I29&lt;&gt;"",L29&lt;&gt;"Sí"),"Descarga pendiente",IF(AND(D29="Tarjeta",L29="Sí",N29&lt;&gt;"Sí"),"Verificación pendiente",IF(AND(D29="Tarjeta",N29="Sí",O29&lt;&gt;"Sí"),"Borrado pendiente",IF(Q29&lt;&gt;"","Revisar incidencia","Correcto"))))))))))))))</f>
        <v/>
      </c>
      <c r="T29" s="20" t="n"/>
    </row>
    <row r="30" ht="22" customHeight="1">
      <c r="A30" s="20" t="n"/>
      <c r="B30" s="20" t="n"/>
      <c r="C30" s="20" t="n"/>
      <c r="D30" s="23">
        <f>IF(C30="","",IFERROR(_xlfn.XLOOKUP(C30,tblInventario[ID del soporte],tblInventario[Tipo],""),""))</f>
        <v/>
      </c>
      <c r="E30" s="20" t="n"/>
      <c r="F30" s="22" t="n"/>
      <c r="G30" s="20" t="n"/>
      <c r="H30" s="21" t="n"/>
      <c r="I30" s="22" t="n"/>
      <c r="J30" s="20" t="n"/>
      <c r="K30" s="21" t="n"/>
      <c r="L30" s="20" t="n"/>
      <c r="M30" s="22" t="n"/>
      <c r="N30" s="20" t="n"/>
      <c r="O30" s="20" t="n"/>
      <c r="P30" s="22" t="n"/>
      <c r="Q30" s="26" t="n"/>
      <c r="R30" s="23">
        <f>IF(A30="","",IF(I30="","Abierto",IF(D30="Tarjeta",IF(OR(L30&lt;&gt;"Sí",N30&lt;&gt;"Sí",O30&lt;&gt;"Sí"),"Pendiente","Cerrado"),IF(D30="Batería","Cerrado","Revisar"))))</f>
        <v/>
      </c>
      <c r="S30" s="25">
        <f>IF(A30="","",IF(B30="","Falta la sesión",IF(C30="","Falta el soporte",IF(D30="","Soporte no encontrado",IF(COUNTIFS(tblControl[ID del soporte],C30,tblControl[Estado del control],"Abierto")&gt;1,"Soporte asignado más de una vez",IF(F30="","Falta la fecha de salida",IF(AND(I30&lt;&gt;"",I30&lt;F30),"La devolución es anterior a la salida",IF(AND(D30="Batería",G30=""),"Falta la carga de salida",IF(AND(D30="Batería",G30&lt;Resumen!$C$3),"Carga de salida inferior al mínimo",IF(AND(D30="Tarjeta",H30=""),"Falta el espacio libre de salida",IF(AND(D30="Tarjeta",I30&lt;&gt;"",L30&lt;&gt;"Sí"),"Descarga pendiente",IF(AND(D30="Tarjeta",L30="Sí",N30&lt;&gt;"Sí"),"Verificación pendiente",IF(AND(D30="Tarjeta",N30="Sí",O30&lt;&gt;"Sí"),"Borrado pendiente",IF(Q30&lt;&gt;"","Revisar incidencia","Correcto"))))))))))))))</f>
        <v/>
      </c>
      <c r="T30" s="20" t="n"/>
    </row>
    <row r="31" ht="22" customHeight="1">
      <c r="A31" s="20" t="n"/>
      <c r="B31" s="20" t="n"/>
      <c r="C31" s="20" t="n"/>
      <c r="D31" s="23">
        <f>IF(C31="","",IFERROR(_xlfn.XLOOKUP(C31,tblInventario[ID del soporte],tblInventario[Tipo],""),""))</f>
        <v/>
      </c>
      <c r="E31" s="20" t="n"/>
      <c r="F31" s="22" t="n"/>
      <c r="G31" s="20" t="n"/>
      <c r="H31" s="21" t="n"/>
      <c r="I31" s="22" t="n"/>
      <c r="J31" s="20" t="n"/>
      <c r="K31" s="21" t="n"/>
      <c r="L31" s="20" t="n"/>
      <c r="M31" s="22" t="n"/>
      <c r="N31" s="20" t="n"/>
      <c r="O31" s="20" t="n"/>
      <c r="P31" s="22" t="n"/>
      <c r="Q31" s="26" t="n"/>
      <c r="R31" s="23">
        <f>IF(A31="","",IF(I31="","Abierto",IF(D31="Tarjeta",IF(OR(L31&lt;&gt;"Sí",N31&lt;&gt;"Sí",O31&lt;&gt;"Sí"),"Pendiente","Cerrado"),IF(D31="Batería","Cerrado","Revisar"))))</f>
        <v/>
      </c>
      <c r="S31" s="25">
        <f>IF(A31="","",IF(B31="","Falta la sesión",IF(C31="","Falta el soporte",IF(D31="","Soporte no encontrado",IF(COUNTIFS(tblControl[ID del soporte],C31,tblControl[Estado del control],"Abierto")&gt;1,"Soporte asignado más de una vez",IF(F31="","Falta la fecha de salida",IF(AND(I31&lt;&gt;"",I31&lt;F31),"La devolución es anterior a la salida",IF(AND(D31="Batería",G31=""),"Falta la carga de salida",IF(AND(D31="Batería",G31&lt;Resumen!$C$3),"Carga de salida inferior al mínimo",IF(AND(D31="Tarjeta",H31=""),"Falta el espacio libre de salida",IF(AND(D31="Tarjeta",I31&lt;&gt;"",L31&lt;&gt;"Sí"),"Descarga pendiente",IF(AND(D31="Tarjeta",L31="Sí",N31&lt;&gt;"Sí"),"Verificación pendiente",IF(AND(D31="Tarjeta",N31="Sí",O31&lt;&gt;"Sí"),"Borrado pendiente",IF(Q31&lt;&gt;"","Revisar incidencia","Correcto"))))))))))))))</f>
        <v/>
      </c>
      <c r="T31" s="20" t="n"/>
    </row>
    <row r="32" ht="22" customHeight="1">
      <c r="A32" s="20" t="n"/>
      <c r="B32" s="20" t="n"/>
      <c r="C32" s="20" t="n"/>
      <c r="D32" s="23">
        <f>IF(C32="","",IFERROR(_xlfn.XLOOKUP(C32,tblInventario[ID del soporte],tblInventario[Tipo],""),""))</f>
        <v/>
      </c>
      <c r="E32" s="20" t="n"/>
      <c r="F32" s="22" t="n"/>
      <c r="G32" s="20" t="n"/>
      <c r="H32" s="21" t="n"/>
      <c r="I32" s="22" t="n"/>
      <c r="J32" s="20" t="n"/>
      <c r="K32" s="21" t="n"/>
      <c r="L32" s="20" t="n"/>
      <c r="M32" s="22" t="n"/>
      <c r="N32" s="20" t="n"/>
      <c r="O32" s="20" t="n"/>
      <c r="P32" s="22" t="n"/>
      <c r="Q32" s="26" t="n"/>
      <c r="R32" s="23">
        <f>IF(A32="","",IF(I32="","Abierto",IF(D32="Tarjeta",IF(OR(L32&lt;&gt;"Sí",N32&lt;&gt;"Sí",O32&lt;&gt;"Sí"),"Pendiente","Cerrado"),IF(D32="Batería","Cerrado","Revisar"))))</f>
        <v/>
      </c>
      <c r="S32" s="25">
        <f>IF(A32="","",IF(B32="","Falta la sesión",IF(C32="","Falta el soporte",IF(D32="","Soporte no encontrado",IF(COUNTIFS(tblControl[ID del soporte],C32,tblControl[Estado del control],"Abierto")&gt;1,"Soporte asignado más de una vez",IF(F32="","Falta la fecha de salida",IF(AND(I32&lt;&gt;"",I32&lt;F32),"La devolución es anterior a la salida",IF(AND(D32="Batería",G32=""),"Falta la carga de salida",IF(AND(D32="Batería",G32&lt;Resumen!$C$3),"Carga de salida inferior al mínimo",IF(AND(D32="Tarjeta",H32=""),"Falta el espacio libre de salida",IF(AND(D32="Tarjeta",I32&lt;&gt;"",L32&lt;&gt;"Sí"),"Descarga pendiente",IF(AND(D32="Tarjeta",L32="Sí",N32&lt;&gt;"Sí"),"Verificación pendiente",IF(AND(D32="Tarjeta",N32="Sí",O32&lt;&gt;"Sí"),"Borrado pendiente",IF(Q32&lt;&gt;"","Revisar incidencia","Correcto"))))))))))))))</f>
        <v/>
      </c>
      <c r="T32" s="20" t="n"/>
    </row>
    <row r="33" ht="22" customHeight="1">
      <c r="A33" s="20" t="n"/>
      <c r="B33" s="20" t="n"/>
      <c r="C33" s="20" t="n"/>
      <c r="D33" s="23">
        <f>IF(C33="","",IFERROR(_xlfn.XLOOKUP(C33,tblInventario[ID del soporte],tblInventario[Tipo],""),""))</f>
        <v/>
      </c>
      <c r="E33" s="20" t="n"/>
      <c r="F33" s="22" t="n"/>
      <c r="G33" s="20" t="n"/>
      <c r="H33" s="21" t="n"/>
      <c r="I33" s="22" t="n"/>
      <c r="J33" s="20" t="n"/>
      <c r="K33" s="21" t="n"/>
      <c r="L33" s="20" t="n"/>
      <c r="M33" s="22" t="n"/>
      <c r="N33" s="20" t="n"/>
      <c r="O33" s="20" t="n"/>
      <c r="P33" s="22" t="n"/>
      <c r="Q33" s="26" t="n"/>
      <c r="R33" s="23">
        <f>IF(A33="","",IF(I33="","Abierto",IF(D33="Tarjeta",IF(OR(L33&lt;&gt;"Sí",N33&lt;&gt;"Sí",O33&lt;&gt;"Sí"),"Pendiente","Cerrado"),IF(D33="Batería","Cerrado","Revisar"))))</f>
        <v/>
      </c>
      <c r="S33" s="25">
        <f>IF(A33="","",IF(B33="","Falta la sesión",IF(C33="","Falta el soporte",IF(D33="","Soporte no encontrado",IF(COUNTIFS(tblControl[ID del soporte],C33,tblControl[Estado del control],"Abierto")&gt;1,"Soporte asignado más de una vez",IF(F33="","Falta la fecha de salida",IF(AND(I33&lt;&gt;"",I33&lt;F33),"La devolución es anterior a la salida",IF(AND(D33="Batería",G33=""),"Falta la carga de salida",IF(AND(D33="Batería",G33&lt;Resumen!$C$3),"Carga de salida inferior al mínimo",IF(AND(D33="Tarjeta",H33=""),"Falta el espacio libre de salida",IF(AND(D33="Tarjeta",I33&lt;&gt;"",L33&lt;&gt;"Sí"),"Descarga pendiente",IF(AND(D33="Tarjeta",L33="Sí",N33&lt;&gt;"Sí"),"Verificación pendiente",IF(AND(D33="Tarjeta",N33="Sí",O33&lt;&gt;"Sí"),"Borrado pendiente",IF(Q33&lt;&gt;"","Revisar incidencia","Correcto"))))))))))))))</f>
        <v/>
      </c>
      <c r="T33" s="20" t="n"/>
    </row>
    <row r="34" ht="22" customHeight="1">
      <c r="A34" s="20" t="n"/>
      <c r="B34" s="20" t="n"/>
      <c r="C34" s="20" t="n"/>
      <c r="D34" s="23">
        <f>IF(C34="","",IFERROR(_xlfn.XLOOKUP(C34,tblInventario[ID del soporte],tblInventario[Tipo],""),""))</f>
        <v/>
      </c>
      <c r="E34" s="20" t="n"/>
      <c r="F34" s="22" t="n"/>
      <c r="G34" s="20" t="n"/>
      <c r="H34" s="21" t="n"/>
      <c r="I34" s="22" t="n"/>
      <c r="J34" s="20" t="n"/>
      <c r="K34" s="21" t="n"/>
      <c r="L34" s="20" t="n"/>
      <c r="M34" s="22" t="n"/>
      <c r="N34" s="20" t="n"/>
      <c r="O34" s="20" t="n"/>
      <c r="P34" s="22" t="n"/>
      <c r="Q34" s="26" t="n"/>
      <c r="R34" s="23">
        <f>IF(A34="","",IF(I34="","Abierto",IF(D34="Tarjeta",IF(OR(L34&lt;&gt;"Sí",N34&lt;&gt;"Sí",O34&lt;&gt;"Sí"),"Pendiente","Cerrado"),IF(D34="Batería","Cerrado","Revisar"))))</f>
        <v/>
      </c>
      <c r="S34" s="25">
        <f>IF(A34="","",IF(B34="","Falta la sesión",IF(C34="","Falta el soporte",IF(D34="","Soporte no encontrado",IF(COUNTIFS(tblControl[ID del soporte],C34,tblControl[Estado del control],"Abierto")&gt;1,"Soporte asignado más de una vez",IF(F34="","Falta la fecha de salida",IF(AND(I34&lt;&gt;"",I34&lt;F34),"La devolución es anterior a la salida",IF(AND(D34="Batería",G34=""),"Falta la carga de salida",IF(AND(D34="Batería",G34&lt;Resumen!$C$3),"Carga de salida inferior al mínimo",IF(AND(D34="Tarjeta",H34=""),"Falta el espacio libre de salida",IF(AND(D34="Tarjeta",I34&lt;&gt;"",L34&lt;&gt;"Sí"),"Descarga pendiente",IF(AND(D34="Tarjeta",L34="Sí",N34&lt;&gt;"Sí"),"Verificación pendiente",IF(AND(D34="Tarjeta",N34="Sí",O34&lt;&gt;"Sí"),"Borrado pendiente",IF(Q34&lt;&gt;"","Revisar incidencia","Correcto"))))))))))))))</f>
        <v/>
      </c>
      <c r="T34" s="20" t="n"/>
    </row>
    <row r="35" ht="22" customHeight="1">
      <c r="A35" s="20" t="n"/>
      <c r="B35" s="20" t="n"/>
      <c r="C35" s="20" t="n"/>
      <c r="D35" s="23">
        <f>IF(C35="","",IFERROR(_xlfn.XLOOKUP(C35,tblInventario[ID del soporte],tblInventario[Tipo],""),""))</f>
        <v/>
      </c>
      <c r="E35" s="20" t="n"/>
      <c r="F35" s="22" t="n"/>
      <c r="G35" s="20" t="n"/>
      <c r="H35" s="21" t="n"/>
      <c r="I35" s="22" t="n"/>
      <c r="J35" s="20" t="n"/>
      <c r="K35" s="21" t="n"/>
      <c r="L35" s="20" t="n"/>
      <c r="M35" s="22" t="n"/>
      <c r="N35" s="20" t="n"/>
      <c r="O35" s="20" t="n"/>
      <c r="P35" s="22" t="n"/>
      <c r="Q35" s="26" t="n"/>
      <c r="R35" s="23">
        <f>IF(A35="","",IF(I35="","Abierto",IF(D35="Tarjeta",IF(OR(L35&lt;&gt;"Sí",N35&lt;&gt;"Sí",O35&lt;&gt;"Sí"),"Pendiente","Cerrado"),IF(D35="Batería","Cerrado","Revisar"))))</f>
        <v/>
      </c>
      <c r="S35" s="25">
        <f>IF(A35="","",IF(B35="","Falta la sesión",IF(C35="","Falta el soporte",IF(D35="","Soporte no encontrado",IF(COUNTIFS(tblControl[ID del soporte],C35,tblControl[Estado del control],"Abierto")&gt;1,"Soporte asignado más de una vez",IF(F35="","Falta la fecha de salida",IF(AND(I35&lt;&gt;"",I35&lt;F35),"La devolución es anterior a la salida",IF(AND(D35="Batería",G35=""),"Falta la carga de salida",IF(AND(D35="Batería",G35&lt;Resumen!$C$3),"Carga de salida inferior al mínimo",IF(AND(D35="Tarjeta",H35=""),"Falta el espacio libre de salida",IF(AND(D35="Tarjeta",I35&lt;&gt;"",L35&lt;&gt;"Sí"),"Descarga pendiente",IF(AND(D35="Tarjeta",L35="Sí",N35&lt;&gt;"Sí"),"Verificación pendiente",IF(AND(D35="Tarjeta",N35="Sí",O35&lt;&gt;"Sí"),"Borrado pendiente",IF(Q35&lt;&gt;"","Revisar incidencia","Correcto"))))))))))))))</f>
        <v/>
      </c>
      <c r="T35" s="20" t="n"/>
    </row>
    <row r="36" ht="22" customHeight="1">
      <c r="A36" s="20" t="n"/>
      <c r="B36" s="20" t="n"/>
      <c r="C36" s="20" t="n"/>
      <c r="D36" s="23">
        <f>IF(C36="","",IFERROR(_xlfn.XLOOKUP(C36,tblInventario[ID del soporte],tblInventario[Tipo],""),""))</f>
        <v/>
      </c>
      <c r="E36" s="20" t="n"/>
      <c r="F36" s="22" t="n"/>
      <c r="G36" s="20" t="n"/>
      <c r="H36" s="21" t="n"/>
      <c r="I36" s="22" t="n"/>
      <c r="J36" s="20" t="n"/>
      <c r="K36" s="21" t="n"/>
      <c r="L36" s="20" t="n"/>
      <c r="M36" s="22" t="n"/>
      <c r="N36" s="20" t="n"/>
      <c r="O36" s="20" t="n"/>
      <c r="P36" s="22" t="n"/>
      <c r="Q36" s="26" t="n"/>
      <c r="R36" s="23">
        <f>IF(A36="","",IF(I36="","Abierto",IF(D36="Tarjeta",IF(OR(L36&lt;&gt;"Sí",N36&lt;&gt;"Sí",O36&lt;&gt;"Sí"),"Pendiente","Cerrado"),IF(D36="Batería","Cerrado","Revisar"))))</f>
        <v/>
      </c>
      <c r="S36" s="25">
        <f>IF(A36="","",IF(B36="","Falta la sesión",IF(C36="","Falta el soporte",IF(D36="","Soporte no encontrado",IF(COUNTIFS(tblControl[ID del soporte],C36,tblControl[Estado del control],"Abierto")&gt;1,"Soporte asignado más de una vez",IF(F36="","Falta la fecha de salida",IF(AND(I36&lt;&gt;"",I36&lt;F36),"La devolución es anterior a la salida",IF(AND(D36="Batería",G36=""),"Falta la carga de salida",IF(AND(D36="Batería",G36&lt;Resumen!$C$3),"Carga de salida inferior al mínimo",IF(AND(D36="Tarjeta",H36=""),"Falta el espacio libre de salida",IF(AND(D36="Tarjeta",I36&lt;&gt;"",L36&lt;&gt;"Sí"),"Descarga pendiente",IF(AND(D36="Tarjeta",L36="Sí",N36&lt;&gt;"Sí"),"Verificación pendiente",IF(AND(D36="Tarjeta",N36="Sí",O36&lt;&gt;"Sí"),"Borrado pendiente",IF(Q36&lt;&gt;"","Revisar incidencia","Correcto"))))))))))))))</f>
        <v/>
      </c>
      <c r="T36" s="20" t="n"/>
    </row>
    <row r="37" ht="22" customHeight="1">
      <c r="A37" s="20" t="n"/>
      <c r="B37" s="20" t="n"/>
      <c r="C37" s="20" t="n"/>
      <c r="D37" s="23">
        <f>IF(C37="","",IFERROR(_xlfn.XLOOKUP(C37,tblInventario[ID del soporte],tblInventario[Tipo],""),""))</f>
        <v/>
      </c>
      <c r="E37" s="20" t="n"/>
      <c r="F37" s="22" t="n"/>
      <c r="G37" s="20" t="n"/>
      <c r="H37" s="21" t="n"/>
      <c r="I37" s="22" t="n"/>
      <c r="J37" s="20" t="n"/>
      <c r="K37" s="21" t="n"/>
      <c r="L37" s="20" t="n"/>
      <c r="M37" s="22" t="n"/>
      <c r="N37" s="20" t="n"/>
      <c r="O37" s="20" t="n"/>
      <c r="P37" s="22" t="n"/>
      <c r="Q37" s="26" t="n"/>
      <c r="R37" s="23">
        <f>IF(A37="","",IF(I37="","Abierto",IF(D37="Tarjeta",IF(OR(L37&lt;&gt;"Sí",N37&lt;&gt;"Sí",O37&lt;&gt;"Sí"),"Pendiente","Cerrado"),IF(D37="Batería","Cerrado","Revisar"))))</f>
        <v/>
      </c>
      <c r="S37" s="25">
        <f>IF(A37="","",IF(B37="","Falta la sesión",IF(C37="","Falta el soporte",IF(D37="","Soporte no encontrado",IF(COUNTIFS(tblControl[ID del soporte],C37,tblControl[Estado del control],"Abierto")&gt;1,"Soporte asignado más de una vez",IF(F37="","Falta la fecha de salida",IF(AND(I37&lt;&gt;"",I37&lt;F37),"La devolución es anterior a la salida",IF(AND(D37="Batería",G37=""),"Falta la carga de salida",IF(AND(D37="Batería",G37&lt;Resumen!$C$3),"Carga de salida inferior al mínimo",IF(AND(D37="Tarjeta",H37=""),"Falta el espacio libre de salida",IF(AND(D37="Tarjeta",I37&lt;&gt;"",L37&lt;&gt;"Sí"),"Descarga pendiente",IF(AND(D37="Tarjeta",L37="Sí",N37&lt;&gt;"Sí"),"Verificación pendiente",IF(AND(D37="Tarjeta",N37="Sí",O37&lt;&gt;"Sí"),"Borrado pendiente",IF(Q37&lt;&gt;"","Revisar incidencia","Correcto"))))))))))))))</f>
        <v/>
      </c>
      <c r="T37" s="20" t="n"/>
    </row>
    <row r="38" ht="22" customHeight="1">
      <c r="A38" s="20" t="n"/>
      <c r="B38" s="20" t="n"/>
      <c r="C38" s="20" t="n"/>
      <c r="D38" s="23">
        <f>IF(C38="","",IFERROR(_xlfn.XLOOKUP(C38,tblInventario[ID del soporte],tblInventario[Tipo],""),""))</f>
        <v/>
      </c>
      <c r="E38" s="20" t="n"/>
      <c r="F38" s="22" t="n"/>
      <c r="G38" s="20" t="n"/>
      <c r="H38" s="21" t="n"/>
      <c r="I38" s="22" t="n"/>
      <c r="J38" s="20" t="n"/>
      <c r="K38" s="21" t="n"/>
      <c r="L38" s="20" t="n"/>
      <c r="M38" s="22" t="n"/>
      <c r="N38" s="20" t="n"/>
      <c r="O38" s="20" t="n"/>
      <c r="P38" s="22" t="n"/>
      <c r="Q38" s="26" t="n"/>
      <c r="R38" s="23">
        <f>IF(A38="","",IF(I38="","Abierto",IF(D38="Tarjeta",IF(OR(L38&lt;&gt;"Sí",N38&lt;&gt;"Sí",O38&lt;&gt;"Sí"),"Pendiente","Cerrado"),IF(D38="Batería","Cerrado","Revisar"))))</f>
        <v/>
      </c>
      <c r="S38" s="25">
        <f>IF(A38="","",IF(B38="","Falta la sesión",IF(C38="","Falta el soporte",IF(D38="","Soporte no encontrado",IF(COUNTIFS(tblControl[ID del soporte],C38,tblControl[Estado del control],"Abierto")&gt;1,"Soporte asignado más de una vez",IF(F38="","Falta la fecha de salida",IF(AND(I38&lt;&gt;"",I38&lt;F38),"La devolución es anterior a la salida",IF(AND(D38="Batería",G38=""),"Falta la carga de salida",IF(AND(D38="Batería",G38&lt;Resumen!$C$3),"Carga de salida inferior al mínimo",IF(AND(D38="Tarjeta",H38=""),"Falta el espacio libre de salida",IF(AND(D38="Tarjeta",I38&lt;&gt;"",L38&lt;&gt;"Sí"),"Descarga pendiente",IF(AND(D38="Tarjeta",L38="Sí",N38&lt;&gt;"Sí"),"Verificación pendiente",IF(AND(D38="Tarjeta",N38="Sí",O38&lt;&gt;"Sí"),"Borrado pendiente",IF(Q38&lt;&gt;"","Revisar incidencia","Correcto"))))))))))))))</f>
        <v/>
      </c>
      <c r="T38" s="20" t="n"/>
    </row>
    <row r="39" ht="22" customHeight="1">
      <c r="A39" s="20" t="n"/>
      <c r="B39" s="20" t="n"/>
      <c r="C39" s="20" t="n"/>
      <c r="D39" s="23">
        <f>IF(C39="","",IFERROR(_xlfn.XLOOKUP(C39,tblInventario[ID del soporte],tblInventario[Tipo],""),""))</f>
        <v/>
      </c>
      <c r="E39" s="20" t="n"/>
      <c r="F39" s="22" t="n"/>
      <c r="G39" s="20" t="n"/>
      <c r="H39" s="21" t="n"/>
      <c r="I39" s="22" t="n"/>
      <c r="J39" s="20" t="n"/>
      <c r="K39" s="21" t="n"/>
      <c r="L39" s="20" t="n"/>
      <c r="M39" s="22" t="n"/>
      <c r="N39" s="20" t="n"/>
      <c r="O39" s="20" t="n"/>
      <c r="P39" s="22" t="n"/>
      <c r="Q39" s="26" t="n"/>
      <c r="R39" s="23">
        <f>IF(A39="","",IF(I39="","Abierto",IF(D39="Tarjeta",IF(OR(L39&lt;&gt;"Sí",N39&lt;&gt;"Sí",O39&lt;&gt;"Sí"),"Pendiente","Cerrado"),IF(D39="Batería","Cerrado","Revisar"))))</f>
        <v/>
      </c>
      <c r="S39" s="25">
        <f>IF(A39="","",IF(B39="","Falta la sesión",IF(C39="","Falta el soporte",IF(D39="","Soporte no encontrado",IF(COUNTIFS(tblControl[ID del soporte],C39,tblControl[Estado del control],"Abierto")&gt;1,"Soporte asignado más de una vez",IF(F39="","Falta la fecha de salida",IF(AND(I39&lt;&gt;"",I39&lt;F39),"La devolución es anterior a la salida",IF(AND(D39="Batería",G39=""),"Falta la carga de salida",IF(AND(D39="Batería",G39&lt;Resumen!$C$3),"Carga de salida inferior al mínimo",IF(AND(D39="Tarjeta",H39=""),"Falta el espacio libre de salida",IF(AND(D39="Tarjeta",I39&lt;&gt;"",L39&lt;&gt;"Sí"),"Descarga pendiente",IF(AND(D39="Tarjeta",L39="Sí",N39&lt;&gt;"Sí"),"Verificación pendiente",IF(AND(D39="Tarjeta",N39="Sí",O39&lt;&gt;"Sí"),"Borrado pendiente",IF(Q39&lt;&gt;"","Revisar incidencia","Correcto"))))))))))))))</f>
        <v/>
      </c>
      <c r="T39" s="20" t="n"/>
    </row>
    <row r="40" ht="22" customHeight="1">
      <c r="A40" s="20" t="n"/>
      <c r="B40" s="20" t="n"/>
      <c r="C40" s="20" t="n"/>
      <c r="D40" s="23">
        <f>IF(C40="","",IFERROR(_xlfn.XLOOKUP(C40,tblInventario[ID del soporte],tblInventario[Tipo],""),""))</f>
        <v/>
      </c>
      <c r="E40" s="20" t="n"/>
      <c r="F40" s="22" t="n"/>
      <c r="G40" s="20" t="n"/>
      <c r="H40" s="21" t="n"/>
      <c r="I40" s="22" t="n"/>
      <c r="J40" s="20" t="n"/>
      <c r="K40" s="21" t="n"/>
      <c r="L40" s="20" t="n"/>
      <c r="M40" s="22" t="n"/>
      <c r="N40" s="20" t="n"/>
      <c r="O40" s="20" t="n"/>
      <c r="P40" s="22" t="n"/>
      <c r="Q40" s="26" t="n"/>
      <c r="R40" s="23">
        <f>IF(A40="","",IF(I40="","Abierto",IF(D40="Tarjeta",IF(OR(L40&lt;&gt;"Sí",N40&lt;&gt;"Sí",O40&lt;&gt;"Sí"),"Pendiente","Cerrado"),IF(D40="Batería","Cerrado","Revisar"))))</f>
        <v/>
      </c>
      <c r="S40" s="25">
        <f>IF(A40="","",IF(B40="","Falta la sesión",IF(C40="","Falta el soporte",IF(D40="","Soporte no encontrado",IF(COUNTIFS(tblControl[ID del soporte],C40,tblControl[Estado del control],"Abierto")&gt;1,"Soporte asignado más de una vez",IF(F40="","Falta la fecha de salida",IF(AND(I40&lt;&gt;"",I40&lt;F40),"La devolución es anterior a la salida",IF(AND(D40="Batería",G40=""),"Falta la carga de salida",IF(AND(D40="Batería",G40&lt;Resumen!$C$3),"Carga de salida inferior al mínimo",IF(AND(D40="Tarjeta",H40=""),"Falta el espacio libre de salida",IF(AND(D40="Tarjeta",I40&lt;&gt;"",L40&lt;&gt;"Sí"),"Descarga pendiente",IF(AND(D40="Tarjeta",L40="Sí",N40&lt;&gt;"Sí"),"Verificación pendiente",IF(AND(D40="Tarjeta",N40="Sí",O40&lt;&gt;"Sí"),"Borrado pendiente",IF(Q40&lt;&gt;"","Revisar incidencia","Correcto"))))))))))))))</f>
        <v/>
      </c>
      <c r="T40" s="20" t="n"/>
    </row>
    <row r="41" ht="22" customHeight="1">
      <c r="A41" s="20" t="n"/>
      <c r="B41" s="20" t="n"/>
      <c r="C41" s="20" t="n"/>
      <c r="D41" s="23">
        <f>IF(C41="","",IFERROR(_xlfn.XLOOKUP(C41,tblInventario[ID del soporte],tblInventario[Tipo],""),""))</f>
        <v/>
      </c>
      <c r="E41" s="20" t="n"/>
      <c r="F41" s="22" t="n"/>
      <c r="G41" s="20" t="n"/>
      <c r="H41" s="21" t="n"/>
      <c r="I41" s="22" t="n"/>
      <c r="J41" s="20" t="n"/>
      <c r="K41" s="21" t="n"/>
      <c r="L41" s="20" t="n"/>
      <c r="M41" s="22" t="n"/>
      <c r="N41" s="20" t="n"/>
      <c r="O41" s="20" t="n"/>
      <c r="P41" s="22" t="n"/>
      <c r="Q41" s="26" t="n"/>
      <c r="R41" s="23">
        <f>IF(A41="","",IF(I41="","Abierto",IF(D41="Tarjeta",IF(OR(L41&lt;&gt;"Sí",N41&lt;&gt;"Sí",O41&lt;&gt;"Sí"),"Pendiente","Cerrado"),IF(D41="Batería","Cerrado","Revisar"))))</f>
        <v/>
      </c>
      <c r="S41" s="25">
        <f>IF(A41="","",IF(B41="","Falta la sesión",IF(C41="","Falta el soporte",IF(D41="","Soporte no encontrado",IF(COUNTIFS(tblControl[ID del soporte],C41,tblControl[Estado del control],"Abierto")&gt;1,"Soporte asignado más de una vez",IF(F41="","Falta la fecha de salida",IF(AND(I41&lt;&gt;"",I41&lt;F41),"La devolución es anterior a la salida",IF(AND(D41="Batería",G41=""),"Falta la carga de salida",IF(AND(D41="Batería",G41&lt;Resumen!$C$3),"Carga de salida inferior al mínimo",IF(AND(D41="Tarjeta",H41=""),"Falta el espacio libre de salida",IF(AND(D41="Tarjeta",I41&lt;&gt;"",L41&lt;&gt;"Sí"),"Descarga pendiente",IF(AND(D41="Tarjeta",L41="Sí",N41&lt;&gt;"Sí"),"Verificación pendiente",IF(AND(D41="Tarjeta",N41="Sí",O41&lt;&gt;"Sí"),"Borrado pendiente",IF(Q41&lt;&gt;"","Revisar incidencia","Correcto"))))))))))))))</f>
        <v/>
      </c>
      <c r="T41" s="20" t="n"/>
    </row>
    <row r="42" ht="22" customHeight="1">
      <c r="A42" s="20" t="n"/>
      <c r="B42" s="20" t="n"/>
      <c r="C42" s="20" t="n"/>
      <c r="D42" s="23">
        <f>IF(C42="","",IFERROR(_xlfn.XLOOKUP(C42,tblInventario[ID del soporte],tblInventario[Tipo],""),""))</f>
        <v/>
      </c>
      <c r="E42" s="20" t="n"/>
      <c r="F42" s="22" t="n"/>
      <c r="G42" s="20" t="n"/>
      <c r="H42" s="21" t="n"/>
      <c r="I42" s="22" t="n"/>
      <c r="J42" s="20" t="n"/>
      <c r="K42" s="21" t="n"/>
      <c r="L42" s="20" t="n"/>
      <c r="M42" s="22" t="n"/>
      <c r="N42" s="20" t="n"/>
      <c r="O42" s="20" t="n"/>
      <c r="P42" s="22" t="n"/>
      <c r="Q42" s="26" t="n"/>
      <c r="R42" s="23">
        <f>IF(A42="","",IF(I42="","Abierto",IF(D42="Tarjeta",IF(OR(L42&lt;&gt;"Sí",N42&lt;&gt;"Sí",O42&lt;&gt;"Sí"),"Pendiente","Cerrado"),IF(D42="Batería","Cerrado","Revisar"))))</f>
        <v/>
      </c>
      <c r="S42" s="25">
        <f>IF(A42="","",IF(B42="","Falta la sesión",IF(C42="","Falta el soporte",IF(D42="","Soporte no encontrado",IF(COUNTIFS(tblControl[ID del soporte],C42,tblControl[Estado del control],"Abierto")&gt;1,"Soporte asignado más de una vez",IF(F42="","Falta la fecha de salida",IF(AND(I42&lt;&gt;"",I42&lt;F42),"La devolución es anterior a la salida",IF(AND(D42="Batería",G42=""),"Falta la carga de salida",IF(AND(D42="Batería",G42&lt;Resumen!$C$3),"Carga de salida inferior al mínimo",IF(AND(D42="Tarjeta",H42=""),"Falta el espacio libre de salida",IF(AND(D42="Tarjeta",I42&lt;&gt;"",L42&lt;&gt;"Sí"),"Descarga pendiente",IF(AND(D42="Tarjeta",L42="Sí",N42&lt;&gt;"Sí"),"Verificación pendiente",IF(AND(D42="Tarjeta",N42="Sí",O42&lt;&gt;"Sí"),"Borrado pendiente",IF(Q42&lt;&gt;"","Revisar incidencia","Correcto"))))))))))))))</f>
        <v/>
      </c>
      <c r="T42" s="20" t="n"/>
    </row>
    <row r="43" ht="22" customHeight="1">
      <c r="A43" s="20" t="n"/>
      <c r="B43" s="20" t="n"/>
      <c r="C43" s="20" t="n"/>
      <c r="D43" s="23">
        <f>IF(C43="","",IFERROR(_xlfn.XLOOKUP(C43,tblInventario[ID del soporte],tblInventario[Tipo],""),""))</f>
        <v/>
      </c>
      <c r="E43" s="20" t="n"/>
      <c r="F43" s="22" t="n"/>
      <c r="G43" s="20" t="n"/>
      <c r="H43" s="21" t="n"/>
      <c r="I43" s="22" t="n"/>
      <c r="J43" s="20" t="n"/>
      <c r="K43" s="21" t="n"/>
      <c r="L43" s="20" t="n"/>
      <c r="M43" s="22" t="n"/>
      <c r="N43" s="20" t="n"/>
      <c r="O43" s="20" t="n"/>
      <c r="P43" s="22" t="n"/>
      <c r="Q43" s="26" t="n"/>
      <c r="R43" s="23">
        <f>IF(A43="","",IF(I43="","Abierto",IF(D43="Tarjeta",IF(OR(L43&lt;&gt;"Sí",N43&lt;&gt;"Sí",O43&lt;&gt;"Sí"),"Pendiente","Cerrado"),IF(D43="Batería","Cerrado","Revisar"))))</f>
        <v/>
      </c>
      <c r="S43" s="25">
        <f>IF(A43="","",IF(B43="","Falta la sesión",IF(C43="","Falta el soporte",IF(D43="","Soporte no encontrado",IF(COUNTIFS(tblControl[ID del soporte],C43,tblControl[Estado del control],"Abierto")&gt;1,"Soporte asignado más de una vez",IF(F43="","Falta la fecha de salida",IF(AND(I43&lt;&gt;"",I43&lt;F43),"La devolución es anterior a la salida",IF(AND(D43="Batería",G43=""),"Falta la carga de salida",IF(AND(D43="Batería",G43&lt;Resumen!$C$3),"Carga de salida inferior al mínimo",IF(AND(D43="Tarjeta",H43=""),"Falta el espacio libre de salida",IF(AND(D43="Tarjeta",I43&lt;&gt;"",L43&lt;&gt;"Sí"),"Descarga pendiente",IF(AND(D43="Tarjeta",L43="Sí",N43&lt;&gt;"Sí"),"Verificación pendiente",IF(AND(D43="Tarjeta",N43="Sí",O43&lt;&gt;"Sí"),"Borrado pendiente",IF(Q43&lt;&gt;"","Revisar incidencia","Correcto"))))))))))))))</f>
        <v/>
      </c>
      <c r="T43" s="20" t="n"/>
    </row>
    <row r="44" ht="22" customHeight="1">
      <c r="A44" s="20" t="n"/>
      <c r="B44" s="20" t="n"/>
      <c r="C44" s="20" t="n"/>
      <c r="D44" s="23">
        <f>IF(C44="","",IFERROR(_xlfn.XLOOKUP(C44,tblInventario[ID del soporte],tblInventario[Tipo],""),""))</f>
        <v/>
      </c>
      <c r="E44" s="20" t="n"/>
      <c r="F44" s="22" t="n"/>
      <c r="G44" s="20" t="n"/>
      <c r="H44" s="21" t="n"/>
      <c r="I44" s="22" t="n"/>
      <c r="J44" s="20" t="n"/>
      <c r="K44" s="21" t="n"/>
      <c r="L44" s="20" t="n"/>
      <c r="M44" s="22" t="n"/>
      <c r="N44" s="20" t="n"/>
      <c r="O44" s="20" t="n"/>
      <c r="P44" s="22" t="n"/>
      <c r="Q44" s="26" t="n"/>
      <c r="R44" s="23">
        <f>IF(A44="","",IF(I44="","Abierto",IF(D44="Tarjeta",IF(OR(L44&lt;&gt;"Sí",N44&lt;&gt;"Sí",O44&lt;&gt;"Sí"),"Pendiente","Cerrado"),IF(D44="Batería","Cerrado","Revisar"))))</f>
        <v/>
      </c>
      <c r="S44" s="25">
        <f>IF(A44="","",IF(B44="","Falta la sesión",IF(C44="","Falta el soporte",IF(D44="","Soporte no encontrado",IF(COUNTIFS(tblControl[ID del soporte],C44,tblControl[Estado del control],"Abierto")&gt;1,"Soporte asignado más de una vez",IF(F44="","Falta la fecha de salida",IF(AND(I44&lt;&gt;"",I44&lt;F44),"La devolución es anterior a la salida",IF(AND(D44="Batería",G44=""),"Falta la carga de salida",IF(AND(D44="Batería",G44&lt;Resumen!$C$3),"Carga de salida inferior al mínimo",IF(AND(D44="Tarjeta",H44=""),"Falta el espacio libre de salida",IF(AND(D44="Tarjeta",I44&lt;&gt;"",L44&lt;&gt;"Sí"),"Descarga pendiente",IF(AND(D44="Tarjeta",L44="Sí",N44&lt;&gt;"Sí"),"Verificación pendiente",IF(AND(D44="Tarjeta",N44="Sí",O44&lt;&gt;"Sí"),"Borrado pendiente",IF(Q44&lt;&gt;"","Revisar incidencia","Correcto"))))))))))))))</f>
        <v/>
      </c>
      <c r="T44" s="20" t="n"/>
    </row>
    <row r="45" ht="22" customHeight="1">
      <c r="A45" s="20" t="n"/>
      <c r="B45" s="20" t="n"/>
      <c r="C45" s="20" t="n"/>
      <c r="D45" s="23">
        <f>IF(C45="","",IFERROR(_xlfn.XLOOKUP(C45,tblInventario[ID del soporte],tblInventario[Tipo],""),""))</f>
        <v/>
      </c>
      <c r="E45" s="20" t="n"/>
      <c r="F45" s="22" t="n"/>
      <c r="G45" s="20" t="n"/>
      <c r="H45" s="21" t="n"/>
      <c r="I45" s="22" t="n"/>
      <c r="J45" s="20" t="n"/>
      <c r="K45" s="21" t="n"/>
      <c r="L45" s="20" t="n"/>
      <c r="M45" s="22" t="n"/>
      <c r="N45" s="20" t="n"/>
      <c r="O45" s="20" t="n"/>
      <c r="P45" s="22" t="n"/>
      <c r="Q45" s="26" t="n"/>
      <c r="R45" s="23">
        <f>IF(A45="","",IF(I45="","Abierto",IF(D45="Tarjeta",IF(OR(L45&lt;&gt;"Sí",N45&lt;&gt;"Sí",O45&lt;&gt;"Sí"),"Pendiente","Cerrado"),IF(D45="Batería","Cerrado","Revisar"))))</f>
        <v/>
      </c>
      <c r="S45" s="25">
        <f>IF(A45="","",IF(B45="","Falta la sesión",IF(C45="","Falta el soporte",IF(D45="","Soporte no encontrado",IF(COUNTIFS(tblControl[ID del soporte],C45,tblControl[Estado del control],"Abierto")&gt;1,"Soporte asignado más de una vez",IF(F45="","Falta la fecha de salida",IF(AND(I45&lt;&gt;"",I45&lt;F45),"La devolución es anterior a la salida",IF(AND(D45="Batería",G45=""),"Falta la carga de salida",IF(AND(D45="Batería",G45&lt;Resumen!$C$3),"Carga de salida inferior al mínimo",IF(AND(D45="Tarjeta",H45=""),"Falta el espacio libre de salida",IF(AND(D45="Tarjeta",I45&lt;&gt;"",L45&lt;&gt;"Sí"),"Descarga pendiente",IF(AND(D45="Tarjeta",L45="Sí",N45&lt;&gt;"Sí"),"Verificación pendiente",IF(AND(D45="Tarjeta",N45="Sí",O45&lt;&gt;"Sí"),"Borrado pendiente",IF(Q45&lt;&gt;"","Revisar incidencia","Correcto"))))))))))))))</f>
        <v/>
      </c>
      <c r="T45" s="20" t="n"/>
    </row>
    <row r="46" ht="22" customHeight="1">
      <c r="A46" s="20" t="n"/>
      <c r="B46" s="20" t="n"/>
      <c r="C46" s="20" t="n"/>
      <c r="D46" s="23">
        <f>IF(C46="","",IFERROR(_xlfn.XLOOKUP(C46,tblInventario[ID del soporte],tblInventario[Tipo],""),""))</f>
        <v/>
      </c>
      <c r="E46" s="20" t="n"/>
      <c r="F46" s="22" t="n"/>
      <c r="G46" s="20" t="n"/>
      <c r="H46" s="21" t="n"/>
      <c r="I46" s="22" t="n"/>
      <c r="J46" s="20" t="n"/>
      <c r="K46" s="21" t="n"/>
      <c r="L46" s="20" t="n"/>
      <c r="M46" s="22" t="n"/>
      <c r="N46" s="20" t="n"/>
      <c r="O46" s="20" t="n"/>
      <c r="P46" s="22" t="n"/>
      <c r="Q46" s="26" t="n"/>
      <c r="R46" s="23">
        <f>IF(A46="","",IF(I46="","Abierto",IF(D46="Tarjeta",IF(OR(L46&lt;&gt;"Sí",N46&lt;&gt;"Sí",O46&lt;&gt;"Sí"),"Pendiente","Cerrado"),IF(D46="Batería","Cerrado","Revisar"))))</f>
        <v/>
      </c>
      <c r="S46" s="25">
        <f>IF(A46="","",IF(B46="","Falta la sesión",IF(C46="","Falta el soporte",IF(D46="","Soporte no encontrado",IF(COUNTIFS(tblControl[ID del soporte],C46,tblControl[Estado del control],"Abierto")&gt;1,"Soporte asignado más de una vez",IF(F46="","Falta la fecha de salida",IF(AND(I46&lt;&gt;"",I46&lt;F46),"La devolución es anterior a la salida",IF(AND(D46="Batería",G46=""),"Falta la carga de salida",IF(AND(D46="Batería",G46&lt;Resumen!$C$3),"Carga de salida inferior al mínimo",IF(AND(D46="Tarjeta",H46=""),"Falta el espacio libre de salida",IF(AND(D46="Tarjeta",I46&lt;&gt;"",L46&lt;&gt;"Sí"),"Descarga pendiente",IF(AND(D46="Tarjeta",L46="Sí",N46&lt;&gt;"Sí"),"Verificación pendiente",IF(AND(D46="Tarjeta",N46="Sí",O46&lt;&gt;"Sí"),"Borrado pendiente",IF(Q46&lt;&gt;"","Revisar incidencia","Correcto"))))))))))))))</f>
        <v/>
      </c>
      <c r="T46" s="20" t="n"/>
    </row>
    <row r="47" ht="22" customHeight="1">
      <c r="A47" s="20" t="n"/>
      <c r="B47" s="20" t="n"/>
      <c r="C47" s="20" t="n"/>
      <c r="D47" s="23">
        <f>IF(C47="","",IFERROR(_xlfn.XLOOKUP(C47,tblInventario[ID del soporte],tblInventario[Tipo],""),""))</f>
        <v/>
      </c>
      <c r="E47" s="20" t="n"/>
      <c r="F47" s="22" t="n"/>
      <c r="G47" s="20" t="n"/>
      <c r="H47" s="21" t="n"/>
      <c r="I47" s="22" t="n"/>
      <c r="J47" s="20" t="n"/>
      <c r="K47" s="21" t="n"/>
      <c r="L47" s="20" t="n"/>
      <c r="M47" s="22" t="n"/>
      <c r="N47" s="20" t="n"/>
      <c r="O47" s="20" t="n"/>
      <c r="P47" s="22" t="n"/>
      <c r="Q47" s="26" t="n"/>
      <c r="R47" s="23">
        <f>IF(A47="","",IF(I47="","Abierto",IF(D47="Tarjeta",IF(OR(L47&lt;&gt;"Sí",N47&lt;&gt;"Sí",O47&lt;&gt;"Sí"),"Pendiente","Cerrado"),IF(D47="Batería","Cerrado","Revisar"))))</f>
        <v/>
      </c>
      <c r="S47" s="25">
        <f>IF(A47="","",IF(B47="","Falta la sesión",IF(C47="","Falta el soporte",IF(D47="","Soporte no encontrado",IF(COUNTIFS(tblControl[ID del soporte],C47,tblControl[Estado del control],"Abierto")&gt;1,"Soporte asignado más de una vez",IF(F47="","Falta la fecha de salida",IF(AND(I47&lt;&gt;"",I47&lt;F47),"La devolución es anterior a la salida",IF(AND(D47="Batería",G47=""),"Falta la carga de salida",IF(AND(D47="Batería",G47&lt;Resumen!$C$3),"Carga de salida inferior al mínimo",IF(AND(D47="Tarjeta",H47=""),"Falta el espacio libre de salida",IF(AND(D47="Tarjeta",I47&lt;&gt;"",L47&lt;&gt;"Sí"),"Descarga pendiente",IF(AND(D47="Tarjeta",L47="Sí",N47&lt;&gt;"Sí"),"Verificación pendiente",IF(AND(D47="Tarjeta",N47="Sí",O47&lt;&gt;"Sí"),"Borrado pendiente",IF(Q47&lt;&gt;"","Revisar incidencia","Correcto"))))))))))))))</f>
        <v/>
      </c>
      <c r="T47" s="20" t="n"/>
    </row>
    <row r="48" ht="22" customHeight="1">
      <c r="A48" s="20" t="n"/>
      <c r="B48" s="20" t="n"/>
      <c r="C48" s="20" t="n"/>
      <c r="D48" s="23">
        <f>IF(C48="","",IFERROR(_xlfn.XLOOKUP(C48,tblInventario[ID del soporte],tblInventario[Tipo],""),""))</f>
        <v/>
      </c>
      <c r="E48" s="20" t="n"/>
      <c r="F48" s="22" t="n"/>
      <c r="G48" s="20" t="n"/>
      <c r="H48" s="21" t="n"/>
      <c r="I48" s="22" t="n"/>
      <c r="J48" s="20" t="n"/>
      <c r="K48" s="21" t="n"/>
      <c r="L48" s="20" t="n"/>
      <c r="M48" s="22" t="n"/>
      <c r="N48" s="20" t="n"/>
      <c r="O48" s="20" t="n"/>
      <c r="P48" s="22" t="n"/>
      <c r="Q48" s="26" t="n"/>
      <c r="R48" s="23">
        <f>IF(A48="","",IF(I48="","Abierto",IF(D48="Tarjeta",IF(OR(L48&lt;&gt;"Sí",N48&lt;&gt;"Sí",O48&lt;&gt;"Sí"),"Pendiente","Cerrado"),IF(D48="Batería","Cerrado","Revisar"))))</f>
        <v/>
      </c>
      <c r="S48" s="25">
        <f>IF(A48="","",IF(B48="","Falta la sesión",IF(C48="","Falta el soporte",IF(D48="","Soporte no encontrado",IF(COUNTIFS(tblControl[ID del soporte],C48,tblControl[Estado del control],"Abierto")&gt;1,"Soporte asignado más de una vez",IF(F48="","Falta la fecha de salida",IF(AND(I48&lt;&gt;"",I48&lt;F48),"La devolución es anterior a la salida",IF(AND(D48="Batería",G48=""),"Falta la carga de salida",IF(AND(D48="Batería",G48&lt;Resumen!$C$3),"Carga de salida inferior al mínimo",IF(AND(D48="Tarjeta",H48=""),"Falta el espacio libre de salida",IF(AND(D48="Tarjeta",I48&lt;&gt;"",L48&lt;&gt;"Sí"),"Descarga pendiente",IF(AND(D48="Tarjeta",L48="Sí",N48&lt;&gt;"Sí"),"Verificación pendiente",IF(AND(D48="Tarjeta",N48="Sí",O48&lt;&gt;"Sí"),"Borrado pendiente",IF(Q48&lt;&gt;"","Revisar incidencia","Correcto"))))))))))))))</f>
        <v/>
      </c>
      <c r="T48" s="20" t="n"/>
    </row>
    <row r="49" ht="22" customHeight="1">
      <c r="A49" s="20" t="n"/>
      <c r="B49" s="20" t="n"/>
      <c r="C49" s="20" t="n"/>
      <c r="D49" s="23">
        <f>IF(C49="","",IFERROR(_xlfn.XLOOKUP(C49,tblInventario[ID del soporte],tblInventario[Tipo],""),""))</f>
        <v/>
      </c>
      <c r="E49" s="20" t="n"/>
      <c r="F49" s="22" t="n"/>
      <c r="G49" s="20" t="n"/>
      <c r="H49" s="21" t="n"/>
      <c r="I49" s="22" t="n"/>
      <c r="J49" s="20" t="n"/>
      <c r="K49" s="21" t="n"/>
      <c r="L49" s="20" t="n"/>
      <c r="M49" s="22" t="n"/>
      <c r="N49" s="20" t="n"/>
      <c r="O49" s="20" t="n"/>
      <c r="P49" s="22" t="n"/>
      <c r="Q49" s="26" t="n"/>
      <c r="R49" s="23">
        <f>IF(A49="","",IF(I49="","Abierto",IF(D49="Tarjeta",IF(OR(L49&lt;&gt;"Sí",N49&lt;&gt;"Sí",O49&lt;&gt;"Sí"),"Pendiente","Cerrado"),IF(D49="Batería","Cerrado","Revisar"))))</f>
        <v/>
      </c>
      <c r="S49" s="25">
        <f>IF(A49="","",IF(B49="","Falta la sesión",IF(C49="","Falta el soporte",IF(D49="","Soporte no encontrado",IF(COUNTIFS(tblControl[ID del soporte],C49,tblControl[Estado del control],"Abierto")&gt;1,"Soporte asignado más de una vez",IF(F49="","Falta la fecha de salida",IF(AND(I49&lt;&gt;"",I49&lt;F49),"La devolución es anterior a la salida",IF(AND(D49="Batería",G49=""),"Falta la carga de salida",IF(AND(D49="Batería",G49&lt;Resumen!$C$3),"Carga de salida inferior al mínimo",IF(AND(D49="Tarjeta",H49=""),"Falta el espacio libre de salida",IF(AND(D49="Tarjeta",I49&lt;&gt;"",L49&lt;&gt;"Sí"),"Descarga pendiente",IF(AND(D49="Tarjeta",L49="Sí",N49&lt;&gt;"Sí"),"Verificación pendiente",IF(AND(D49="Tarjeta",N49="Sí",O49&lt;&gt;"Sí"),"Borrado pendiente",IF(Q49&lt;&gt;"","Revisar incidencia","Correcto"))))))))))))))</f>
        <v/>
      </c>
      <c r="T49" s="20" t="n"/>
    </row>
    <row r="50" ht="22" customHeight="1">
      <c r="A50" s="20" t="n"/>
      <c r="B50" s="20" t="n"/>
      <c r="C50" s="20" t="n"/>
      <c r="D50" s="23">
        <f>IF(C50="","",IFERROR(_xlfn.XLOOKUP(C50,tblInventario[ID del soporte],tblInventario[Tipo],""),""))</f>
        <v/>
      </c>
      <c r="E50" s="20" t="n"/>
      <c r="F50" s="22" t="n"/>
      <c r="G50" s="20" t="n"/>
      <c r="H50" s="21" t="n"/>
      <c r="I50" s="22" t="n"/>
      <c r="J50" s="20" t="n"/>
      <c r="K50" s="21" t="n"/>
      <c r="L50" s="20" t="n"/>
      <c r="M50" s="22" t="n"/>
      <c r="N50" s="20" t="n"/>
      <c r="O50" s="20" t="n"/>
      <c r="P50" s="22" t="n"/>
      <c r="Q50" s="26" t="n"/>
      <c r="R50" s="23">
        <f>IF(A50="","",IF(I50="","Abierto",IF(D50="Tarjeta",IF(OR(L50&lt;&gt;"Sí",N50&lt;&gt;"Sí",O50&lt;&gt;"Sí"),"Pendiente","Cerrado"),IF(D50="Batería","Cerrado","Revisar"))))</f>
        <v/>
      </c>
      <c r="S50" s="25">
        <f>IF(A50="","",IF(B50="","Falta la sesión",IF(C50="","Falta el soporte",IF(D50="","Soporte no encontrado",IF(COUNTIFS(tblControl[ID del soporte],C50,tblControl[Estado del control],"Abierto")&gt;1,"Soporte asignado más de una vez",IF(F50="","Falta la fecha de salida",IF(AND(I50&lt;&gt;"",I50&lt;F50),"La devolución es anterior a la salida",IF(AND(D50="Batería",G50=""),"Falta la carga de salida",IF(AND(D50="Batería",G50&lt;Resumen!$C$3),"Carga de salida inferior al mínimo",IF(AND(D50="Tarjeta",H50=""),"Falta el espacio libre de salida",IF(AND(D50="Tarjeta",I50&lt;&gt;"",L50&lt;&gt;"Sí"),"Descarga pendiente",IF(AND(D50="Tarjeta",L50="Sí",N50&lt;&gt;"Sí"),"Verificación pendiente",IF(AND(D50="Tarjeta",N50="Sí",O50&lt;&gt;"Sí"),"Borrado pendiente",IF(Q50&lt;&gt;"","Revisar incidencia","Correcto"))))))))))))))</f>
        <v/>
      </c>
      <c r="T50" s="20" t="n"/>
    </row>
    <row r="51" ht="22" customHeight="1">
      <c r="A51" s="20" t="n"/>
      <c r="B51" s="20" t="n"/>
      <c r="C51" s="20" t="n"/>
      <c r="D51" s="23">
        <f>IF(C51="","",IFERROR(_xlfn.XLOOKUP(C51,tblInventario[ID del soporte],tblInventario[Tipo],""),""))</f>
        <v/>
      </c>
      <c r="E51" s="20" t="n"/>
      <c r="F51" s="22" t="n"/>
      <c r="G51" s="20" t="n"/>
      <c r="H51" s="21" t="n"/>
      <c r="I51" s="22" t="n"/>
      <c r="J51" s="20" t="n"/>
      <c r="K51" s="21" t="n"/>
      <c r="L51" s="20" t="n"/>
      <c r="M51" s="22" t="n"/>
      <c r="N51" s="20" t="n"/>
      <c r="O51" s="20" t="n"/>
      <c r="P51" s="22" t="n"/>
      <c r="Q51" s="26" t="n"/>
      <c r="R51" s="23">
        <f>IF(A51="","",IF(I51="","Abierto",IF(D51="Tarjeta",IF(OR(L51&lt;&gt;"Sí",N51&lt;&gt;"Sí",O51&lt;&gt;"Sí"),"Pendiente","Cerrado"),IF(D51="Batería","Cerrado","Revisar"))))</f>
        <v/>
      </c>
      <c r="S51" s="25">
        <f>IF(A51="","",IF(B51="","Falta la sesión",IF(C51="","Falta el soporte",IF(D51="","Soporte no encontrado",IF(COUNTIFS(tblControl[ID del soporte],C51,tblControl[Estado del control],"Abierto")&gt;1,"Soporte asignado más de una vez",IF(F51="","Falta la fecha de salida",IF(AND(I51&lt;&gt;"",I51&lt;F51),"La devolución es anterior a la salida",IF(AND(D51="Batería",G51=""),"Falta la carga de salida",IF(AND(D51="Batería",G51&lt;Resumen!$C$3),"Carga de salida inferior al mínimo",IF(AND(D51="Tarjeta",H51=""),"Falta el espacio libre de salida",IF(AND(D51="Tarjeta",I51&lt;&gt;"",L51&lt;&gt;"Sí"),"Descarga pendiente",IF(AND(D51="Tarjeta",L51="Sí",N51&lt;&gt;"Sí"),"Verificación pendiente",IF(AND(D51="Tarjeta",N51="Sí",O51&lt;&gt;"Sí"),"Borrado pendiente",IF(Q51&lt;&gt;"","Revisar incidencia","Correcto"))))))))))))))</f>
        <v/>
      </c>
      <c r="T51" s="20" t="n"/>
    </row>
    <row r="52" ht="22" customHeight="1">
      <c r="A52" s="20" t="n"/>
      <c r="B52" s="20" t="n"/>
      <c r="C52" s="20" t="n"/>
      <c r="D52" s="23">
        <f>IF(C52="","",IFERROR(_xlfn.XLOOKUP(C52,tblInventario[ID del soporte],tblInventario[Tipo],""),""))</f>
        <v/>
      </c>
      <c r="E52" s="20" t="n"/>
      <c r="F52" s="22" t="n"/>
      <c r="G52" s="20" t="n"/>
      <c r="H52" s="21" t="n"/>
      <c r="I52" s="22" t="n"/>
      <c r="J52" s="20" t="n"/>
      <c r="K52" s="21" t="n"/>
      <c r="L52" s="20" t="n"/>
      <c r="M52" s="22" t="n"/>
      <c r="N52" s="20" t="n"/>
      <c r="O52" s="20" t="n"/>
      <c r="P52" s="22" t="n"/>
      <c r="Q52" s="26" t="n"/>
      <c r="R52" s="23">
        <f>IF(A52="","",IF(I52="","Abierto",IF(D52="Tarjeta",IF(OR(L52&lt;&gt;"Sí",N52&lt;&gt;"Sí",O52&lt;&gt;"Sí"),"Pendiente","Cerrado"),IF(D52="Batería","Cerrado","Revisar"))))</f>
        <v/>
      </c>
      <c r="S52" s="25">
        <f>IF(A52="","",IF(B52="","Falta la sesión",IF(C52="","Falta el soporte",IF(D52="","Soporte no encontrado",IF(COUNTIFS(tblControl[ID del soporte],C52,tblControl[Estado del control],"Abierto")&gt;1,"Soporte asignado más de una vez",IF(F52="","Falta la fecha de salida",IF(AND(I52&lt;&gt;"",I52&lt;F52),"La devolución es anterior a la salida",IF(AND(D52="Batería",G52=""),"Falta la carga de salida",IF(AND(D52="Batería",G52&lt;Resumen!$C$3),"Carga de salida inferior al mínimo",IF(AND(D52="Tarjeta",H52=""),"Falta el espacio libre de salida",IF(AND(D52="Tarjeta",I52&lt;&gt;"",L52&lt;&gt;"Sí"),"Descarga pendiente",IF(AND(D52="Tarjeta",L52="Sí",N52&lt;&gt;"Sí"),"Verificación pendiente",IF(AND(D52="Tarjeta",N52="Sí",O52&lt;&gt;"Sí"),"Borrado pendiente",IF(Q52&lt;&gt;"","Revisar incidencia","Correcto"))))))))))))))</f>
        <v/>
      </c>
      <c r="T52" s="20" t="n"/>
    </row>
    <row r="53" ht="22" customHeight="1">
      <c r="A53" s="20" t="n"/>
      <c r="B53" s="20" t="n"/>
      <c r="C53" s="20" t="n"/>
      <c r="D53" s="23">
        <f>IF(C53="","",IFERROR(_xlfn.XLOOKUP(C53,tblInventario[ID del soporte],tblInventario[Tipo],""),""))</f>
        <v/>
      </c>
      <c r="E53" s="20" t="n"/>
      <c r="F53" s="22" t="n"/>
      <c r="G53" s="20" t="n"/>
      <c r="H53" s="21" t="n"/>
      <c r="I53" s="22" t="n"/>
      <c r="J53" s="20" t="n"/>
      <c r="K53" s="21" t="n"/>
      <c r="L53" s="20" t="n"/>
      <c r="M53" s="22" t="n"/>
      <c r="N53" s="20" t="n"/>
      <c r="O53" s="20" t="n"/>
      <c r="P53" s="22" t="n"/>
      <c r="Q53" s="26" t="n"/>
      <c r="R53" s="23">
        <f>IF(A53="","",IF(I53="","Abierto",IF(D53="Tarjeta",IF(OR(L53&lt;&gt;"Sí",N53&lt;&gt;"Sí",O53&lt;&gt;"Sí"),"Pendiente","Cerrado"),IF(D53="Batería","Cerrado","Revisar"))))</f>
        <v/>
      </c>
      <c r="S53" s="25">
        <f>IF(A53="","",IF(B53="","Falta la sesión",IF(C53="","Falta el soporte",IF(D53="","Soporte no encontrado",IF(COUNTIFS(tblControl[ID del soporte],C53,tblControl[Estado del control],"Abierto")&gt;1,"Soporte asignado más de una vez",IF(F53="","Falta la fecha de salida",IF(AND(I53&lt;&gt;"",I53&lt;F53),"La devolución es anterior a la salida",IF(AND(D53="Batería",G53=""),"Falta la carga de salida",IF(AND(D53="Batería",G53&lt;Resumen!$C$3),"Carga de salida inferior al mínimo",IF(AND(D53="Tarjeta",H53=""),"Falta el espacio libre de salida",IF(AND(D53="Tarjeta",I53&lt;&gt;"",L53&lt;&gt;"Sí"),"Descarga pendiente",IF(AND(D53="Tarjeta",L53="Sí",N53&lt;&gt;"Sí"),"Verificación pendiente",IF(AND(D53="Tarjeta",N53="Sí",O53&lt;&gt;"Sí"),"Borrado pendiente",IF(Q53&lt;&gt;"","Revisar incidencia","Correcto"))))))))))))))</f>
        <v/>
      </c>
      <c r="T53" s="20" t="n"/>
    </row>
    <row r="54" ht="22" customHeight="1">
      <c r="A54" s="20" t="n"/>
      <c r="B54" s="20" t="n"/>
      <c r="C54" s="20" t="n"/>
      <c r="D54" s="23">
        <f>IF(C54="","",IFERROR(_xlfn.XLOOKUP(C54,tblInventario[ID del soporte],tblInventario[Tipo],""),""))</f>
        <v/>
      </c>
      <c r="E54" s="20" t="n"/>
      <c r="F54" s="22" t="n"/>
      <c r="G54" s="20" t="n"/>
      <c r="H54" s="21" t="n"/>
      <c r="I54" s="22" t="n"/>
      <c r="J54" s="20" t="n"/>
      <c r="K54" s="21" t="n"/>
      <c r="L54" s="20" t="n"/>
      <c r="M54" s="22" t="n"/>
      <c r="N54" s="20" t="n"/>
      <c r="O54" s="20" t="n"/>
      <c r="P54" s="22" t="n"/>
      <c r="Q54" s="26" t="n"/>
      <c r="R54" s="23">
        <f>IF(A54="","",IF(I54="","Abierto",IF(D54="Tarjeta",IF(OR(L54&lt;&gt;"Sí",N54&lt;&gt;"Sí",O54&lt;&gt;"Sí"),"Pendiente","Cerrado"),IF(D54="Batería","Cerrado","Revisar"))))</f>
        <v/>
      </c>
      <c r="S54" s="25">
        <f>IF(A54="","",IF(B54="","Falta la sesión",IF(C54="","Falta el soporte",IF(D54="","Soporte no encontrado",IF(COUNTIFS(tblControl[ID del soporte],C54,tblControl[Estado del control],"Abierto")&gt;1,"Soporte asignado más de una vez",IF(F54="","Falta la fecha de salida",IF(AND(I54&lt;&gt;"",I54&lt;F54),"La devolución es anterior a la salida",IF(AND(D54="Batería",G54=""),"Falta la carga de salida",IF(AND(D54="Batería",G54&lt;Resumen!$C$3),"Carga de salida inferior al mínimo",IF(AND(D54="Tarjeta",H54=""),"Falta el espacio libre de salida",IF(AND(D54="Tarjeta",I54&lt;&gt;"",L54&lt;&gt;"Sí"),"Descarga pendiente",IF(AND(D54="Tarjeta",L54="Sí",N54&lt;&gt;"Sí"),"Verificación pendiente",IF(AND(D54="Tarjeta",N54="Sí",O54&lt;&gt;"Sí"),"Borrado pendiente",IF(Q54&lt;&gt;"","Revisar incidencia","Correcto"))))))))))))))</f>
        <v/>
      </c>
      <c r="T54" s="20" t="n"/>
    </row>
    <row r="55" ht="22" customHeight="1">
      <c r="A55" s="20" t="n"/>
      <c r="B55" s="20" t="n"/>
      <c r="C55" s="20" t="n"/>
      <c r="D55" s="23">
        <f>IF(C55="","",IFERROR(_xlfn.XLOOKUP(C55,tblInventario[ID del soporte],tblInventario[Tipo],""),""))</f>
        <v/>
      </c>
      <c r="E55" s="20" t="n"/>
      <c r="F55" s="22" t="n"/>
      <c r="G55" s="20" t="n"/>
      <c r="H55" s="21" t="n"/>
      <c r="I55" s="22" t="n"/>
      <c r="J55" s="20" t="n"/>
      <c r="K55" s="21" t="n"/>
      <c r="L55" s="20" t="n"/>
      <c r="M55" s="22" t="n"/>
      <c r="N55" s="20" t="n"/>
      <c r="O55" s="20" t="n"/>
      <c r="P55" s="22" t="n"/>
      <c r="Q55" s="26" t="n"/>
      <c r="R55" s="23">
        <f>IF(A55="","",IF(I55="","Abierto",IF(D55="Tarjeta",IF(OR(L55&lt;&gt;"Sí",N55&lt;&gt;"Sí",O55&lt;&gt;"Sí"),"Pendiente","Cerrado"),IF(D55="Batería","Cerrado","Revisar"))))</f>
        <v/>
      </c>
      <c r="S55" s="25">
        <f>IF(A55="","",IF(B55="","Falta la sesión",IF(C55="","Falta el soporte",IF(D55="","Soporte no encontrado",IF(COUNTIFS(tblControl[ID del soporte],C55,tblControl[Estado del control],"Abierto")&gt;1,"Soporte asignado más de una vez",IF(F55="","Falta la fecha de salida",IF(AND(I55&lt;&gt;"",I55&lt;F55),"La devolución es anterior a la salida",IF(AND(D55="Batería",G55=""),"Falta la carga de salida",IF(AND(D55="Batería",G55&lt;Resumen!$C$3),"Carga de salida inferior al mínimo",IF(AND(D55="Tarjeta",H55=""),"Falta el espacio libre de salida",IF(AND(D55="Tarjeta",I55&lt;&gt;"",L55&lt;&gt;"Sí"),"Descarga pendiente",IF(AND(D55="Tarjeta",L55="Sí",N55&lt;&gt;"Sí"),"Verificación pendiente",IF(AND(D55="Tarjeta",N55="Sí",O55&lt;&gt;"Sí"),"Borrado pendiente",IF(Q55&lt;&gt;"","Revisar incidencia","Correcto"))))))))))))))</f>
        <v/>
      </c>
      <c r="T55" s="20" t="n"/>
    </row>
    <row r="56" ht="22" customHeight="1">
      <c r="A56" s="20" t="n"/>
      <c r="B56" s="20" t="n"/>
      <c r="C56" s="20" t="n"/>
      <c r="D56" s="23">
        <f>IF(C56="","",IFERROR(_xlfn.XLOOKUP(C56,tblInventario[ID del soporte],tblInventario[Tipo],""),""))</f>
        <v/>
      </c>
      <c r="E56" s="20" t="n"/>
      <c r="F56" s="22" t="n"/>
      <c r="G56" s="20" t="n"/>
      <c r="H56" s="21" t="n"/>
      <c r="I56" s="22" t="n"/>
      <c r="J56" s="20" t="n"/>
      <c r="K56" s="21" t="n"/>
      <c r="L56" s="20" t="n"/>
      <c r="M56" s="22" t="n"/>
      <c r="N56" s="20" t="n"/>
      <c r="O56" s="20" t="n"/>
      <c r="P56" s="22" t="n"/>
      <c r="Q56" s="26" t="n"/>
      <c r="R56" s="23">
        <f>IF(A56="","",IF(I56="","Abierto",IF(D56="Tarjeta",IF(OR(L56&lt;&gt;"Sí",N56&lt;&gt;"Sí",O56&lt;&gt;"Sí"),"Pendiente","Cerrado"),IF(D56="Batería","Cerrado","Revisar"))))</f>
        <v/>
      </c>
      <c r="S56" s="25">
        <f>IF(A56="","",IF(B56="","Falta la sesión",IF(C56="","Falta el soporte",IF(D56="","Soporte no encontrado",IF(COUNTIFS(tblControl[ID del soporte],C56,tblControl[Estado del control],"Abierto")&gt;1,"Soporte asignado más de una vez",IF(F56="","Falta la fecha de salida",IF(AND(I56&lt;&gt;"",I56&lt;F56),"La devolución es anterior a la salida",IF(AND(D56="Batería",G56=""),"Falta la carga de salida",IF(AND(D56="Batería",G56&lt;Resumen!$C$3),"Carga de salida inferior al mínimo",IF(AND(D56="Tarjeta",H56=""),"Falta el espacio libre de salida",IF(AND(D56="Tarjeta",I56&lt;&gt;"",L56&lt;&gt;"Sí"),"Descarga pendiente",IF(AND(D56="Tarjeta",L56="Sí",N56&lt;&gt;"Sí"),"Verificación pendiente",IF(AND(D56="Tarjeta",N56="Sí",O56&lt;&gt;"Sí"),"Borrado pendiente",IF(Q56&lt;&gt;"","Revisar incidencia","Correcto"))))))))))))))</f>
        <v/>
      </c>
      <c r="T56" s="20" t="n"/>
    </row>
    <row r="57" ht="22" customHeight="1">
      <c r="A57" s="20" t="n"/>
      <c r="B57" s="20" t="n"/>
      <c r="C57" s="20" t="n"/>
      <c r="D57" s="23">
        <f>IF(C57="","",IFERROR(_xlfn.XLOOKUP(C57,tblInventario[ID del soporte],tblInventario[Tipo],""),""))</f>
        <v/>
      </c>
      <c r="E57" s="20" t="n"/>
      <c r="F57" s="22" t="n"/>
      <c r="G57" s="20" t="n"/>
      <c r="H57" s="21" t="n"/>
      <c r="I57" s="22" t="n"/>
      <c r="J57" s="20" t="n"/>
      <c r="K57" s="21" t="n"/>
      <c r="L57" s="20" t="n"/>
      <c r="M57" s="22" t="n"/>
      <c r="N57" s="20" t="n"/>
      <c r="O57" s="20" t="n"/>
      <c r="P57" s="22" t="n"/>
      <c r="Q57" s="26" t="n"/>
      <c r="R57" s="23">
        <f>IF(A57="","",IF(I57="","Abierto",IF(D57="Tarjeta",IF(OR(L57&lt;&gt;"Sí",N57&lt;&gt;"Sí",O57&lt;&gt;"Sí"),"Pendiente","Cerrado"),IF(D57="Batería","Cerrado","Revisar"))))</f>
        <v/>
      </c>
      <c r="S57" s="25">
        <f>IF(A57="","",IF(B57="","Falta la sesión",IF(C57="","Falta el soporte",IF(D57="","Soporte no encontrado",IF(COUNTIFS(tblControl[ID del soporte],C57,tblControl[Estado del control],"Abierto")&gt;1,"Soporte asignado más de una vez",IF(F57="","Falta la fecha de salida",IF(AND(I57&lt;&gt;"",I57&lt;F57),"La devolución es anterior a la salida",IF(AND(D57="Batería",G57=""),"Falta la carga de salida",IF(AND(D57="Batería",G57&lt;Resumen!$C$3),"Carga de salida inferior al mínimo",IF(AND(D57="Tarjeta",H57=""),"Falta el espacio libre de salida",IF(AND(D57="Tarjeta",I57&lt;&gt;"",L57&lt;&gt;"Sí"),"Descarga pendiente",IF(AND(D57="Tarjeta",L57="Sí",N57&lt;&gt;"Sí"),"Verificación pendiente",IF(AND(D57="Tarjeta",N57="Sí",O57&lt;&gt;"Sí"),"Borrado pendiente",IF(Q57&lt;&gt;"","Revisar incidencia","Correcto"))))))))))))))</f>
        <v/>
      </c>
      <c r="T57" s="20" t="n"/>
    </row>
    <row r="58" ht="22" customHeight="1">
      <c r="A58" s="20" t="n"/>
      <c r="B58" s="20" t="n"/>
      <c r="C58" s="20" t="n"/>
      <c r="D58" s="23">
        <f>IF(C58="","",IFERROR(_xlfn.XLOOKUP(C58,tblInventario[ID del soporte],tblInventario[Tipo],""),""))</f>
        <v/>
      </c>
      <c r="E58" s="20" t="n"/>
      <c r="F58" s="22" t="n"/>
      <c r="G58" s="20" t="n"/>
      <c r="H58" s="21" t="n"/>
      <c r="I58" s="22" t="n"/>
      <c r="J58" s="20" t="n"/>
      <c r="K58" s="21" t="n"/>
      <c r="L58" s="20" t="n"/>
      <c r="M58" s="22" t="n"/>
      <c r="N58" s="20" t="n"/>
      <c r="O58" s="20" t="n"/>
      <c r="P58" s="22" t="n"/>
      <c r="Q58" s="26" t="n"/>
      <c r="R58" s="23">
        <f>IF(A58="","",IF(I58="","Abierto",IF(D58="Tarjeta",IF(OR(L58&lt;&gt;"Sí",N58&lt;&gt;"Sí",O58&lt;&gt;"Sí"),"Pendiente","Cerrado"),IF(D58="Batería","Cerrado","Revisar"))))</f>
        <v/>
      </c>
      <c r="S58" s="25">
        <f>IF(A58="","",IF(B58="","Falta la sesión",IF(C58="","Falta el soporte",IF(D58="","Soporte no encontrado",IF(COUNTIFS(tblControl[ID del soporte],C58,tblControl[Estado del control],"Abierto")&gt;1,"Soporte asignado más de una vez",IF(F58="","Falta la fecha de salida",IF(AND(I58&lt;&gt;"",I58&lt;F58),"La devolución es anterior a la salida",IF(AND(D58="Batería",G58=""),"Falta la carga de salida",IF(AND(D58="Batería",G58&lt;Resumen!$C$3),"Carga de salida inferior al mínimo",IF(AND(D58="Tarjeta",H58=""),"Falta el espacio libre de salida",IF(AND(D58="Tarjeta",I58&lt;&gt;"",L58&lt;&gt;"Sí"),"Descarga pendiente",IF(AND(D58="Tarjeta",L58="Sí",N58&lt;&gt;"Sí"),"Verificación pendiente",IF(AND(D58="Tarjeta",N58="Sí",O58&lt;&gt;"Sí"),"Borrado pendiente",IF(Q58&lt;&gt;"","Revisar incidencia","Correcto"))))))))))))))</f>
        <v/>
      </c>
      <c r="T58" s="20" t="n"/>
    </row>
    <row r="59" ht="22" customHeight="1">
      <c r="A59" s="20" t="n"/>
      <c r="B59" s="20" t="n"/>
      <c r="C59" s="20" t="n"/>
      <c r="D59" s="23">
        <f>IF(C59="","",IFERROR(_xlfn.XLOOKUP(C59,tblInventario[ID del soporte],tblInventario[Tipo],""),""))</f>
        <v/>
      </c>
      <c r="E59" s="20" t="n"/>
      <c r="F59" s="22" t="n"/>
      <c r="G59" s="20" t="n"/>
      <c r="H59" s="21" t="n"/>
      <c r="I59" s="22" t="n"/>
      <c r="J59" s="20" t="n"/>
      <c r="K59" s="21" t="n"/>
      <c r="L59" s="20" t="n"/>
      <c r="M59" s="22" t="n"/>
      <c r="N59" s="20" t="n"/>
      <c r="O59" s="20" t="n"/>
      <c r="P59" s="22" t="n"/>
      <c r="Q59" s="26" t="n"/>
      <c r="R59" s="23">
        <f>IF(A59="","",IF(I59="","Abierto",IF(D59="Tarjeta",IF(OR(L59&lt;&gt;"Sí",N59&lt;&gt;"Sí",O59&lt;&gt;"Sí"),"Pendiente","Cerrado"),IF(D59="Batería","Cerrado","Revisar"))))</f>
        <v/>
      </c>
      <c r="S59" s="25">
        <f>IF(A59="","",IF(B59="","Falta la sesión",IF(C59="","Falta el soporte",IF(D59="","Soporte no encontrado",IF(COUNTIFS(tblControl[ID del soporte],C59,tblControl[Estado del control],"Abierto")&gt;1,"Soporte asignado más de una vez",IF(F59="","Falta la fecha de salida",IF(AND(I59&lt;&gt;"",I59&lt;F59),"La devolución es anterior a la salida",IF(AND(D59="Batería",G59=""),"Falta la carga de salida",IF(AND(D59="Batería",G59&lt;Resumen!$C$3),"Carga de salida inferior al mínimo",IF(AND(D59="Tarjeta",H59=""),"Falta el espacio libre de salida",IF(AND(D59="Tarjeta",I59&lt;&gt;"",L59&lt;&gt;"Sí"),"Descarga pendiente",IF(AND(D59="Tarjeta",L59="Sí",N59&lt;&gt;"Sí"),"Verificación pendiente",IF(AND(D59="Tarjeta",N59="Sí",O59&lt;&gt;"Sí"),"Borrado pendiente",IF(Q59&lt;&gt;"","Revisar incidencia","Correcto"))))))))))))))</f>
        <v/>
      </c>
      <c r="T59" s="20" t="n"/>
    </row>
    <row r="60" ht="22" customHeight="1">
      <c r="A60" s="20" t="n"/>
      <c r="B60" s="20" t="n"/>
      <c r="C60" s="20" t="n"/>
      <c r="D60" s="23">
        <f>IF(C60="","",IFERROR(_xlfn.XLOOKUP(C60,tblInventario[ID del soporte],tblInventario[Tipo],""),""))</f>
        <v/>
      </c>
      <c r="E60" s="20" t="n"/>
      <c r="F60" s="22" t="n"/>
      <c r="G60" s="20" t="n"/>
      <c r="H60" s="21" t="n"/>
      <c r="I60" s="22" t="n"/>
      <c r="J60" s="20" t="n"/>
      <c r="K60" s="21" t="n"/>
      <c r="L60" s="20" t="n"/>
      <c r="M60" s="22" t="n"/>
      <c r="N60" s="20" t="n"/>
      <c r="O60" s="20" t="n"/>
      <c r="P60" s="22" t="n"/>
      <c r="Q60" s="26" t="n"/>
      <c r="R60" s="23">
        <f>IF(A60="","",IF(I60="","Abierto",IF(D60="Tarjeta",IF(OR(L60&lt;&gt;"Sí",N60&lt;&gt;"Sí",O60&lt;&gt;"Sí"),"Pendiente","Cerrado"),IF(D60="Batería","Cerrado","Revisar"))))</f>
        <v/>
      </c>
      <c r="S60" s="25">
        <f>IF(A60="","",IF(B60="","Falta la sesión",IF(C60="","Falta el soporte",IF(D60="","Soporte no encontrado",IF(COUNTIFS(tblControl[ID del soporte],C60,tblControl[Estado del control],"Abierto")&gt;1,"Soporte asignado más de una vez",IF(F60="","Falta la fecha de salida",IF(AND(I60&lt;&gt;"",I60&lt;F60),"La devolución es anterior a la salida",IF(AND(D60="Batería",G60=""),"Falta la carga de salida",IF(AND(D60="Batería",G60&lt;Resumen!$C$3),"Carga de salida inferior al mínimo",IF(AND(D60="Tarjeta",H60=""),"Falta el espacio libre de salida",IF(AND(D60="Tarjeta",I60&lt;&gt;"",L60&lt;&gt;"Sí"),"Descarga pendiente",IF(AND(D60="Tarjeta",L60="Sí",N60&lt;&gt;"Sí"),"Verificación pendiente",IF(AND(D60="Tarjeta",N60="Sí",O60&lt;&gt;"Sí"),"Borrado pendiente",IF(Q60&lt;&gt;"","Revisar incidencia","Correcto"))))))))))))))</f>
        <v/>
      </c>
      <c r="T60" s="20" t="n"/>
    </row>
    <row r="61" ht="22" customHeight="1">
      <c r="A61" s="20" t="n"/>
      <c r="B61" s="20" t="n"/>
      <c r="C61" s="20" t="n"/>
      <c r="D61" s="23">
        <f>IF(C61="","",IFERROR(_xlfn.XLOOKUP(C61,tblInventario[ID del soporte],tblInventario[Tipo],""),""))</f>
        <v/>
      </c>
      <c r="E61" s="20" t="n"/>
      <c r="F61" s="22" t="n"/>
      <c r="G61" s="20" t="n"/>
      <c r="H61" s="21" t="n"/>
      <c r="I61" s="22" t="n"/>
      <c r="J61" s="20" t="n"/>
      <c r="K61" s="21" t="n"/>
      <c r="L61" s="20" t="n"/>
      <c r="M61" s="22" t="n"/>
      <c r="N61" s="20" t="n"/>
      <c r="O61" s="20" t="n"/>
      <c r="P61" s="22" t="n"/>
      <c r="Q61" s="26" t="n"/>
      <c r="R61" s="23">
        <f>IF(A61="","",IF(I61="","Abierto",IF(D61="Tarjeta",IF(OR(L61&lt;&gt;"Sí",N61&lt;&gt;"Sí",O61&lt;&gt;"Sí"),"Pendiente","Cerrado"),IF(D61="Batería","Cerrado","Revisar"))))</f>
        <v/>
      </c>
      <c r="S61" s="25">
        <f>IF(A61="","",IF(B61="","Falta la sesión",IF(C61="","Falta el soporte",IF(D61="","Soporte no encontrado",IF(COUNTIFS(tblControl[ID del soporte],C61,tblControl[Estado del control],"Abierto")&gt;1,"Soporte asignado más de una vez",IF(F61="","Falta la fecha de salida",IF(AND(I61&lt;&gt;"",I61&lt;F61),"La devolución es anterior a la salida",IF(AND(D61="Batería",G61=""),"Falta la carga de salida",IF(AND(D61="Batería",G61&lt;Resumen!$C$3),"Carga de salida inferior al mínimo",IF(AND(D61="Tarjeta",H61=""),"Falta el espacio libre de salida",IF(AND(D61="Tarjeta",I61&lt;&gt;"",L61&lt;&gt;"Sí"),"Descarga pendiente",IF(AND(D61="Tarjeta",L61="Sí",N61&lt;&gt;"Sí"),"Verificación pendiente",IF(AND(D61="Tarjeta",N61="Sí",O61&lt;&gt;"Sí"),"Borrado pendiente",IF(Q61&lt;&gt;"","Revisar incidencia","Correcto"))))))))))))))</f>
        <v/>
      </c>
      <c r="T61" s="20" t="n"/>
    </row>
    <row r="62" ht="22" customHeight="1">
      <c r="A62" s="20" t="n"/>
      <c r="B62" s="20" t="n"/>
      <c r="C62" s="20" t="n"/>
      <c r="D62" s="23">
        <f>IF(C62="","",IFERROR(_xlfn.XLOOKUP(C62,tblInventario[ID del soporte],tblInventario[Tipo],""),""))</f>
        <v/>
      </c>
      <c r="E62" s="20" t="n"/>
      <c r="F62" s="22" t="n"/>
      <c r="G62" s="20" t="n"/>
      <c r="H62" s="21" t="n"/>
      <c r="I62" s="22" t="n"/>
      <c r="J62" s="20" t="n"/>
      <c r="K62" s="21" t="n"/>
      <c r="L62" s="20" t="n"/>
      <c r="M62" s="22" t="n"/>
      <c r="N62" s="20" t="n"/>
      <c r="O62" s="20" t="n"/>
      <c r="P62" s="22" t="n"/>
      <c r="Q62" s="26" t="n"/>
      <c r="R62" s="23">
        <f>IF(A62="","",IF(I62="","Abierto",IF(D62="Tarjeta",IF(OR(L62&lt;&gt;"Sí",N62&lt;&gt;"Sí",O62&lt;&gt;"Sí"),"Pendiente","Cerrado"),IF(D62="Batería","Cerrado","Revisar"))))</f>
        <v/>
      </c>
      <c r="S62" s="25">
        <f>IF(A62="","",IF(B62="","Falta la sesión",IF(C62="","Falta el soporte",IF(D62="","Soporte no encontrado",IF(COUNTIFS(tblControl[ID del soporte],C62,tblControl[Estado del control],"Abierto")&gt;1,"Soporte asignado más de una vez",IF(F62="","Falta la fecha de salida",IF(AND(I62&lt;&gt;"",I62&lt;F62),"La devolución es anterior a la salida",IF(AND(D62="Batería",G62=""),"Falta la carga de salida",IF(AND(D62="Batería",G62&lt;Resumen!$C$3),"Carga de salida inferior al mínimo",IF(AND(D62="Tarjeta",H62=""),"Falta el espacio libre de salida",IF(AND(D62="Tarjeta",I62&lt;&gt;"",L62&lt;&gt;"Sí"),"Descarga pendiente",IF(AND(D62="Tarjeta",L62="Sí",N62&lt;&gt;"Sí"),"Verificación pendiente",IF(AND(D62="Tarjeta",N62="Sí",O62&lt;&gt;"Sí"),"Borrado pendiente",IF(Q62&lt;&gt;"","Revisar incidencia","Correcto"))))))))))))))</f>
        <v/>
      </c>
      <c r="T62" s="20" t="n"/>
    </row>
    <row r="63" ht="22" customHeight="1">
      <c r="A63" s="20" t="n"/>
      <c r="B63" s="20" t="n"/>
      <c r="C63" s="20" t="n"/>
      <c r="D63" s="23">
        <f>IF(C63="","",IFERROR(_xlfn.XLOOKUP(C63,tblInventario[ID del soporte],tblInventario[Tipo],""),""))</f>
        <v/>
      </c>
      <c r="E63" s="20" t="n"/>
      <c r="F63" s="22" t="n"/>
      <c r="G63" s="20" t="n"/>
      <c r="H63" s="21" t="n"/>
      <c r="I63" s="22" t="n"/>
      <c r="J63" s="20" t="n"/>
      <c r="K63" s="21" t="n"/>
      <c r="L63" s="20" t="n"/>
      <c r="M63" s="22" t="n"/>
      <c r="N63" s="20" t="n"/>
      <c r="O63" s="20" t="n"/>
      <c r="P63" s="22" t="n"/>
      <c r="Q63" s="26" t="n"/>
      <c r="R63" s="23">
        <f>IF(A63="","",IF(I63="","Abierto",IF(D63="Tarjeta",IF(OR(L63&lt;&gt;"Sí",N63&lt;&gt;"Sí",O63&lt;&gt;"Sí"),"Pendiente","Cerrado"),IF(D63="Batería","Cerrado","Revisar"))))</f>
        <v/>
      </c>
      <c r="S63" s="25">
        <f>IF(A63="","",IF(B63="","Falta la sesión",IF(C63="","Falta el soporte",IF(D63="","Soporte no encontrado",IF(COUNTIFS(tblControl[ID del soporte],C63,tblControl[Estado del control],"Abierto")&gt;1,"Soporte asignado más de una vez",IF(F63="","Falta la fecha de salida",IF(AND(I63&lt;&gt;"",I63&lt;F63),"La devolución es anterior a la salida",IF(AND(D63="Batería",G63=""),"Falta la carga de salida",IF(AND(D63="Batería",G63&lt;Resumen!$C$3),"Carga de salida inferior al mínimo",IF(AND(D63="Tarjeta",H63=""),"Falta el espacio libre de salida",IF(AND(D63="Tarjeta",I63&lt;&gt;"",L63&lt;&gt;"Sí"),"Descarga pendiente",IF(AND(D63="Tarjeta",L63="Sí",N63&lt;&gt;"Sí"),"Verificación pendiente",IF(AND(D63="Tarjeta",N63="Sí",O63&lt;&gt;"Sí"),"Borrado pendiente",IF(Q63&lt;&gt;"","Revisar incidencia","Correcto"))))))))))))))</f>
        <v/>
      </c>
      <c r="T63" s="20" t="n"/>
    </row>
    <row r="64" ht="22" customHeight="1">
      <c r="A64" s="20" t="n"/>
      <c r="B64" s="20" t="n"/>
      <c r="C64" s="20" t="n"/>
      <c r="D64" s="23">
        <f>IF(C64="","",IFERROR(_xlfn.XLOOKUP(C64,tblInventario[ID del soporte],tblInventario[Tipo],""),""))</f>
        <v/>
      </c>
      <c r="E64" s="20" t="n"/>
      <c r="F64" s="22" t="n"/>
      <c r="G64" s="20" t="n"/>
      <c r="H64" s="21" t="n"/>
      <c r="I64" s="22" t="n"/>
      <c r="J64" s="20" t="n"/>
      <c r="K64" s="21" t="n"/>
      <c r="L64" s="20" t="n"/>
      <c r="M64" s="22" t="n"/>
      <c r="N64" s="20" t="n"/>
      <c r="O64" s="20" t="n"/>
      <c r="P64" s="22" t="n"/>
      <c r="Q64" s="26" t="n"/>
      <c r="R64" s="23">
        <f>IF(A64="","",IF(I64="","Abierto",IF(D64="Tarjeta",IF(OR(L64&lt;&gt;"Sí",N64&lt;&gt;"Sí",O64&lt;&gt;"Sí"),"Pendiente","Cerrado"),IF(D64="Batería","Cerrado","Revisar"))))</f>
        <v/>
      </c>
      <c r="S64" s="25">
        <f>IF(A64="","",IF(B64="","Falta la sesión",IF(C64="","Falta el soporte",IF(D64="","Soporte no encontrado",IF(COUNTIFS(tblControl[ID del soporte],C64,tblControl[Estado del control],"Abierto")&gt;1,"Soporte asignado más de una vez",IF(F64="","Falta la fecha de salida",IF(AND(I64&lt;&gt;"",I64&lt;F64),"La devolución es anterior a la salida",IF(AND(D64="Batería",G64=""),"Falta la carga de salida",IF(AND(D64="Batería",G64&lt;Resumen!$C$3),"Carga de salida inferior al mínimo",IF(AND(D64="Tarjeta",H64=""),"Falta el espacio libre de salida",IF(AND(D64="Tarjeta",I64&lt;&gt;"",L64&lt;&gt;"Sí"),"Descarga pendiente",IF(AND(D64="Tarjeta",L64="Sí",N64&lt;&gt;"Sí"),"Verificación pendiente",IF(AND(D64="Tarjeta",N64="Sí",O64&lt;&gt;"Sí"),"Borrado pendiente",IF(Q64&lt;&gt;"","Revisar incidencia","Correcto"))))))))))))))</f>
        <v/>
      </c>
      <c r="T64" s="20" t="n"/>
    </row>
    <row r="65" ht="22" customHeight="1">
      <c r="A65" s="20" t="n"/>
      <c r="B65" s="20" t="n"/>
      <c r="C65" s="20" t="n"/>
      <c r="D65" s="23">
        <f>IF(C65="","",IFERROR(_xlfn.XLOOKUP(C65,tblInventario[ID del soporte],tblInventario[Tipo],""),""))</f>
        <v/>
      </c>
      <c r="E65" s="20" t="n"/>
      <c r="F65" s="22" t="n"/>
      <c r="G65" s="20" t="n"/>
      <c r="H65" s="21" t="n"/>
      <c r="I65" s="22" t="n"/>
      <c r="J65" s="20" t="n"/>
      <c r="K65" s="21" t="n"/>
      <c r="L65" s="20" t="n"/>
      <c r="M65" s="22" t="n"/>
      <c r="N65" s="20" t="n"/>
      <c r="O65" s="20" t="n"/>
      <c r="P65" s="22" t="n"/>
      <c r="Q65" s="26" t="n"/>
      <c r="R65" s="23">
        <f>IF(A65="","",IF(I65="","Abierto",IF(D65="Tarjeta",IF(OR(L65&lt;&gt;"Sí",N65&lt;&gt;"Sí",O65&lt;&gt;"Sí"),"Pendiente","Cerrado"),IF(D65="Batería","Cerrado","Revisar"))))</f>
        <v/>
      </c>
      <c r="S65" s="25">
        <f>IF(A65="","",IF(B65="","Falta la sesión",IF(C65="","Falta el soporte",IF(D65="","Soporte no encontrado",IF(COUNTIFS(tblControl[ID del soporte],C65,tblControl[Estado del control],"Abierto")&gt;1,"Soporte asignado más de una vez",IF(F65="","Falta la fecha de salida",IF(AND(I65&lt;&gt;"",I65&lt;F65),"La devolución es anterior a la salida",IF(AND(D65="Batería",G65=""),"Falta la carga de salida",IF(AND(D65="Batería",G65&lt;Resumen!$C$3),"Carga de salida inferior al mínimo",IF(AND(D65="Tarjeta",H65=""),"Falta el espacio libre de salida",IF(AND(D65="Tarjeta",I65&lt;&gt;"",L65&lt;&gt;"Sí"),"Descarga pendiente",IF(AND(D65="Tarjeta",L65="Sí",N65&lt;&gt;"Sí"),"Verificación pendiente",IF(AND(D65="Tarjeta",N65="Sí",O65&lt;&gt;"Sí"),"Borrado pendiente",IF(Q65&lt;&gt;"","Revisar incidencia","Correcto"))))))))))))))</f>
        <v/>
      </c>
      <c r="T65" s="20" t="n"/>
    </row>
    <row r="66" ht="22" customHeight="1">
      <c r="A66" s="20" t="n"/>
      <c r="B66" s="20" t="n"/>
      <c r="C66" s="20" t="n"/>
      <c r="D66" s="23">
        <f>IF(C66="","",IFERROR(_xlfn.XLOOKUP(C66,tblInventario[ID del soporte],tblInventario[Tipo],""),""))</f>
        <v/>
      </c>
      <c r="E66" s="20" t="n"/>
      <c r="F66" s="22" t="n"/>
      <c r="G66" s="20" t="n"/>
      <c r="H66" s="21" t="n"/>
      <c r="I66" s="22" t="n"/>
      <c r="J66" s="20" t="n"/>
      <c r="K66" s="21" t="n"/>
      <c r="L66" s="20" t="n"/>
      <c r="M66" s="22" t="n"/>
      <c r="N66" s="20" t="n"/>
      <c r="O66" s="20" t="n"/>
      <c r="P66" s="22" t="n"/>
      <c r="Q66" s="26" t="n"/>
      <c r="R66" s="23">
        <f>IF(A66="","",IF(I66="","Abierto",IF(D66="Tarjeta",IF(OR(L66&lt;&gt;"Sí",N66&lt;&gt;"Sí",O66&lt;&gt;"Sí"),"Pendiente","Cerrado"),IF(D66="Batería","Cerrado","Revisar"))))</f>
        <v/>
      </c>
      <c r="S66" s="25">
        <f>IF(A66="","",IF(B66="","Falta la sesión",IF(C66="","Falta el soporte",IF(D66="","Soporte no encontrado",IF(COUNTIFS(tblControl[ID del soporte],C66,tblControl[Estado del control],"Abierto")&gt;1,"Soporte asignado más de una vez",IF(F66="","Falta la fecha de salida",IF(AND(I66&lt;&gt;"",I66&lt;F66),"La devolución es anterior a la salida",IF(AND(D66="Batería",G66=""),"Falta la carga de salida",IF(AND(D66="Batería",G66&lt;Resumen!$C$3),"Carga de salida inferior al mínimo",IF(AND(D66="Tarjeta",H66=""),"Falta el espacio libre de salida",IF(AND(D66="Tarjeta",I66&lt;&gt;"",L66&lt;&gt;"Sí"),"Descarga pendiente",IF(AND(D66="Tarjeta",L66="Sí",N66&lt;&gt;"Sí"),"Verificación pendiente",IF(AND(D66="Tarjeta",N66="Sí",O66&lt;&gt;"Sí"),"Borrado pendiente",IF(Q66&lt;&gt;"","Revisar incidencia","Correcto"))))))))))))))</f>
        <v/>
      </c>
      <c r="T66" s="20" t="n"/>
    </row>
    <row r="67" ht="22" customHeight="1">
      <c r="A67" s="20" t="n"/>
      <c r="B67" s="20" t="n"/>
      <c r="C67" s="20" t="n"/>
      <c r="D67" s="23">
        <f>IF(C67="","",IFERROR(_xlfn.XLOOKUP(C67,tblInventario[ID del soporte],tblInventario[Tipo],""),""))</f>
        <v/>
      </c>
      <c r="E67" s="20" t="n"/>
      <c r="F67" s="22" t="n"/>
      <c r="G67" s="20" t="n"/>
      <c r="H67" s="21" t="n"/>
      <c r="I67" s="22" t="n"/>
      <c r="J67" s="20" t="n"/>
      <c r="K67" s="21" t="n"/>
      <c r="L67" s="20" t="n"/>
      <c r="M67" s="22" t="n"/>
      <c r="N67" s="20" t="n"/>
      <c r="O67" s="20" t="n"/>
      <c r="P67" s="22" t="n"/>
      <c r="Q67" s="26" t="n"/>
      <c r="R67" s="23">
        <f>IF(A67="","",IF(I67="","Abierto",IF(D67="Tarjeta",IF(OR(L67&lt;&gt;"Sí",N67&lt;&gt;"Sí",O67&lt;&gt;"Sí"),"Pendiente","Cerrado"),IF(D67="Batería","Cerrado","Revisar"))))</f>
        <v/>
      </c>
      <c r="S67" s="25">
        <f>IF(A67="","",IF(B67="","Falta la sesión",IF(C67="","Falta el soporte",IF(D67="","Soporte no encontrado",IF(COUNTIFS(tblControl[ID del soporte],C67,tblControl[Estado del control],"Abierto")&gt;1,"Soporte asignado más de una vez",IF(F67="","Falta la fecha de salida",IF(AND(I67&lt;&gt;"",I67&lt;F67),"La devolución es anterior a la salida",IF(AND(D67="Batería",G67=""),"Falta la carga de salida",IF(AND(D67="Batería",G67&lt;Resumen!$C$3),"Carga de salida inferior al mínimo",IF(AND(D67="Tarjeta",H67=""),"Falta el espacio libre de salida",IF(AND(D67="Tarjeta",I67&lt;&gt;"",L67&lt;&gt;"Sí"),"Descarga pendiente",IF(AND(D67="Tarjeta",L67="Sí",N67&lt;&gt;"Sí"),"Verificación pendiente",IF(AND(D67="Tarjeta",N67="Sí",O67&lt;&gt;"Sí"),"Borrado pendiente",IF(Q67&lt;&gt;"","Revisar incidencia","Correcto"))))))))))))))</f>
        <v/>
      </c>
      <c r="T67" s="20" t="n"/>
    </row>
    <row r="68" ht="22" customHeight="1">
      <c r="A68" s="20" t="n"/>
      <c r="B68" s="20" t="n"/>
      <c r="C68" s="20" t="n"/>
      <c r="D68" s="23">
        <f>IF(C68="","",IFERROR(_xlfn.XLOOKUP(C68,tblInventario[ID del soporte],tblInventario[Tipo],""),""))</f>
        <v/>
      </c>
      <c r="E68" s="20" t="n"/>
      <c r="F68" s="22" t="n"/>
      <c r="G68" s="20" t="n"/>
      <c r="H68" s="21" t="n"/>
      <c r="I68" s="22" t="n"/>
      <c r="J68" s="20" t="n"/>
      <c r="K68" s="21" t="n"/>
      <c r="L68" s="20" t="n"/>
      <c r="M68" s="22" t="n"/>
      <c r="N68" s="20" t="n"/>
      <c r="O68" s="20" t="n"/>
      <c r="P68" s="22" t="n"/>
      <c r="Q68" s="26" t="n"/>
      <c r="R68" s="23">
        <f>IF(A68="","",IF(I68="","Abierto",IF(D68="Tarjeta",IF(OR(L68&lt;&gt;"Sí",N68&lt;&gt;"Sí",O68&lt;&gt;"Sí"),"Pendiente","Cerrado"),IF(D68="Batería","Cerrado","Revisar"))))</f>
        <v/>
      </c>
      <c r="S68" s="25">
        <f>IF(A68="","",IF(B68="","Falta la sesión",IF(C68="","Falta el soporte",IF(D68="","Soporte no encontrado",IF(COUNTIFS(tblControl[ID del soporte],C68,tblControl[Estado del control],"Abierto")&gt;1,"Soporte asignado más de una vez",IF(F68="","Falta la fecha de salida",IF(AND(I68&lt;&gt;"",I68&lt;F68),"La devolución es anterior a la salida",IF(AND(D68="Batería",G68=""),"Falta la carga de salida",IF(AND(D68="Batería",G68&lt;Resumen!$C$3),"Carga de salida inferior al mínimo",IF(AND(D68="Tarjeta",H68=""),"Falta el espacio libre de salida",IF(AND(D68="Tarjeta",I68&lt;&gt;"",L68&lt;&gt;"Sí"),"Descarga pendiente",IF(AND(D68="Tarjeta",L68="Sí",N68&lt;&gt;"Sí"),"Verificación pendiente",IF(AND(D68="Tarjeta",N68="Sí",O68&lt;&gt;"Sí"),"Borrado pendiente",IF(Q68&lt;&gt;"","Revisar incidencia","Correcto"))))))))))))))</f>
        <v/>
      </c>
      <c r="T68" s="20" t="n"/>
    </row>
    <row r="69" ht="22" customHeight="1">
      <c r="A69" s="20" t="n"/>
      <c r="B69" s="20" t="n"/>
      <c r="C69" s="20" t="n"/>
      <c r="D69" s="23">
        <f>IF(C69="","",IFERROR(_xlfn.XLOOKUP(C69,tblInventario[ID del soporte],tblInventario[Tipo],""),""))</f>
        <v/>
      </c>
      <c r="E69" s="20" t="n"/>
      <c r="F69" s="22" t="n"/>
      <c r="G69" s="20" t="n"/>
      <c r="H69" s="21" t="n"/>
      <c r="I69" s="22" t="n"/>
      <c r="J69" s="20" t="n"/>
      <c r="K69" s="21" t="n"/>
      <c r="L69" s="20" t="n"/>
      <c r="M69" s="22" t="n"/>
      <c r="N69" s="20" t="n"/>
      <c r="O69" s="20" t="n"/>
      <c r="P69" s="22" t="n"/>
      <c r="Q69" s="26" t="n"/>
      <c r="R69" s="23">
        <f>IF(A69="","",IF(I69="","Abierto",IF(D69="Tarjeta",IF(OR(L69&lt;&gt;"Sí",N69&lt;&gt;"Sí",O69&lt;&gt;"Sí"),"Pendiente","Cerrado"),IF(D69="Batería","Cerrado","Revisar"))))</f>
        <v/>
      </c>
      <c r="S69" s="25">
        <f>IF(A69="","",IF(B69="","Falta la sesión",IF(C69="","Falta el soporte",IF(D69="","Soporte no encontrado",IF(COUNTIFS(tblControl[ID del soporte],C69,tblControl[Estado del control],"Abierto")&gt;1,"Soporte asignado más de una vez",IF(F69="","Falta la fecha de salida",IF(AND(I69&lt;&gt;"",I69&lt;F69),"La devolución es anterior a la salida",IF(AND(D69="Batería",G69=""),"Falta la carga de salida",IF(AND(D69="Batería",G69&lt;Resumen!$C$3),"Carga de salida inferior al mínimo",IF(AND(D69="Tarjeta",H69=""),"Falta el espacio libre de salida",IF(AND(D69="Tarjeta",I69&lt;&gt;"",L69&lt;&gt;"Sí"),"Descarga pendiente",IF(AND(D69="Tarjeta",L69="Sí",N69&lt;&gt;"Sí"),"Verificación pendiente",IF(AND(D69="Tarjeta",N69="Sí",O69&lt;&gt;"Sí"),"Borrado pendiente",IF(Q69&lt;&gt;"","Revisar incidencia","Correcto"))))))))))))))</f>
        <v/>
      </c>
      <c r="T69" s="20" t="n"/>
    </row>
    <row r="70" ht="22" customHeight="1">
      <c r="A70" s="20" t="n"/>
      <c r="B70" s="20" t="n"/>
      <c r="C70" s="20" t="n"/>
      <c r="D70" s="23">
        <f>IF(C70="","",IFERROR(_xlfn.XLOOKUP(C70,tblInventario[ID del soporte],tblInventario[Tipo],""),""))</f>
        <v/>
      </c>
      <c r="E70" s="20" t="n"/>
      <c r="F70" s="22" t="n"/>
      <c r="G70" s="20" t="n"/>
      <c r="H70" s="21" t="n"/>
      <c r="I70" s="22" t="n"/>
      <c r="J70" s="20" t="n"/>
      <c r="K70" s="21" t="n"/>
      <c r="L70" s="20" t="n"/>
      <c r="M70" s="22" t="n"/>
      <c r="N70" s="20" t="n"/>
      <c r="O70" s="20" t="n"/>
      <c r="P70" s="22" t="n"/>
      <c r="Q70" s="26" t="n"/>
      <c r="R70" s="23">
        <f>IF(A70="","",IF(I70="","Abierto",IF(D70="Tarjeta",IF(OR(L70&lt;&gt;"Sí",N70&lt;&gt;"Sí",O70&lt;&gt;"Sí"),"Pendiente","Cerrado"),IF(D70="Batería","Cerrado","Revisar"))))</f>
        <v/>
      </c>
      <c r="S70" s="25">
        <f>IF(A70="","",IF(B70="","Falta la sesión",IF(C70="","Falta el soporte",IF(D70="","Soporte no encontrado",IF(COUNTIFS(tblControl[ID del soporte],C70,tblControl[Estado del control],"Abierto")&gt;1,"Soporte asignado más de una vez",IF(F70="","Falta la fecha de salida",IF(AND(I70&lt;&gt;"",I70&lt;F70),"La devolución es anterior a la salida",IF(AND(D70="Batería",G70=""),"Falta la carga de salida",IF(AND(D70="Batería",G70&lt;Resumen!$C$3),"Carga de salida inferior al mínimo",IF(AND(D70="Tarjeta",H70=""),"Falta el espacio libre de salida",IF(AND(D70="Tarjeta",I70&lt;&gt;"",L70&lt;&gt;"Sí"),"Descarga pendiente",IF(AND(D70="Tarjeta",L70="Sí",N70&lt;&gt;"Sí"),"Verificación pendiente",IF(AND(D70="Tarjeta",N70="Sí",O70&lt;&gt;"Sí"),"Borrado pendiente",IF(Q70&lt;&gt;"","Revisar incidencia","Correcto"))))))))))))))</f>
        <v/>
      </c>
      <c r="T70" s="20" t="n"/>
    </row>
    <row r="71" ht="22" customHeight="1">
      <c r="A71" s="20" t="n"/>
      <c r="B71" s="20" t="n"/>
      <c r="C71" s="20" t="n"/>
      <c r="D71" s="23">
        <f>IF(C71="","",IFERROR(_xlfn.XLOOKUP(C71,tblInventario[ID del soporte],tblInventario[Tipo],""),""))</f>
        <v/>
      </c>
      <c r="E71" s="20" t="n"/>
      <c r="F71" s="22" t="n"/>
      <c r="G71" s="20" t="n"/>
      <c r="H71" s="21" t="n"/>
      <c r="I71" s="22" t="n"/>
      <c r="J71" s="20" t="n"/>
      <c r="K71" s="21" t="n"/>
      <c r="L71" s="20" t="n"/>
      <c r="M71" s="22" t="n"/>
      <c r="N71" s="20" t="n"/>
      <c r="O71" s="20" t="n"/>
      <c r="P71" s="22" t="n"/>
      <c r="Q71" s="26" t="n"/>
      <c r="R71" s="23">
        <f>IF(A71="","",IF(I71="","Abierto",IF(D71="Tarjeta",IF(OR(L71&lt;&gt;"Sí",N71&lt;&gt;"Sí",O71&lt;&gt;"Sí"),"Pendiente","Cerrado"),IF(D71="Batería","Cerrado","Revisar"))))</f>
        <v/>
      </c>
      <c r="S71" s="25">
        <f>IF(A71="","",IF(B71="","Falta la sesión",IF(C71="","Falta el soporte",IF(D71="","Soporte no encontrado",IF(COUNTIFS(tblControl[ID del soporte],C71,tblControl[Estado del control],"Abierto")&gt;1,"Soporte asignado más de una vez",IF(F71="","Falta la fecha de salida",IF(AND(I71&lt;&gt;"",I71&lt;F71),"La devolución es anterior a la salida",IF(AND(D71="Batería",G71=""),"Falta la carga de salida",IF(AND(D71="Batería",G71&lt;Resumen!$C$3),"Carga de salida inferior al mínimo",IF(AND(D71="Tarjeta",H71=""),"Falta el espacio libre de salida",IF(AND(D71="Tarjeta",I71&lt;&gt;"",L71&lt;&gt;"Sí"),"Descarga pendiente",IF(AND(D71="Tarjeta",L71="Sí",N71&lt;&gt;"Sí"),"Verificación pendiente",IF(AND(D71="Tarjeta",N71="Sí",O71&lt;&gt;"Sí"),"Borrado pendiente",IF(Q71&lt;&gt;"","Revisar incidencia","Correcto"))))))))))))))</f>
        <v/>
      </c>
      <c r="T71" s="20" t="n"/>
    </row>
    <row r="72" ht="22" customHeight="1">
      <c r="A72" s="20" t="n"/>
      <c r="B72" s="20" t="n"/>
      <c r="C72" s="20" t="n"/>
      <c r="D72" s="23">
        <f>IF(C72="","",IFERROR(_xlfn.XLOOKUP(C72,tblInventario[ID del soporte],tblInventario[Tipo],""),""))</f>
        <v/>
      </c>
      <c r="E72" s="20" t="n"/>
      <c r="F72" s="22" t="n"/>
      <c r="G72" s="20" t="n"/>
      <c r="H72" s="21" t="n"/>
      <c r="I72" s="22" t="n"/>
      <c r="J72" s="20" t="n"/>
      <c r="K72" s="21" t="n"/>
      <c r="L72" s="20" t="n"/>
      <c r="M72" s="22" t="n"/>
      <c r="N72" s="20" t="n"/>
      <c r="O72" s="20" t="n"/>
      <c r="P72" s="22" t="n"/>
      <c r="Q72" s="26" t="n"/>
      <c r="R72" s="23">
        <f>IF(A72="","",IF(I72="","Abierto",IF(D72="Tarjeta",IF(OR(L72&lt;&gt;"Sí",N72&lt;&gt;"Sí",O72&lt;&gt;"Sí"),"Pendiente","Cerrado"),IF(D72="Batería","Cerrado","Revisar"))))</f>
        <v/>
      </c>
      <c r="S72" s="25">
        <f>IF(A72="","",IF(B72="","Falta la sesión",IF(C72="","Falta el soporte",IF(D72="","Soporte no encontrado",IF(COUNTIFS(tblControl[ID del soporte],C72,tblControl[Estado del control],"Abierto")&gt;1,"Soporte asignado más de una vez",IF(F72="","Falta la fecha de salida",IF(AND(I72&lt;&gt;"",I72&lt;F72),"La devolución es anterior a la salida",IF(AND(D72="Batería",G72=""),"Falta la carga de salida",IF(AND(D72="Batería",G72&lt;Resumen!$C$3),"Carga de salida inferior al mínimo",IF(AND(D72="Tarjeta",H72=""),"Falta el espacio libre de salida",IF(AND(D72="Tarjeta",I72&lt;&gt;"",L72&lt;&gt;"Sí"),"Descarga pendiente",IF(AND(D72="Tarjeta",L72="Sí",N72&lt;&gt;"Sí"),"Verificación pendiente",IF(AND(D72="Tarjeta",N72="Sí",O72&lt;&gt;"Sí"),"Borrado pendiente",IF(Q72&lt;&gt;"","Revisar incidencia","Correcto"))))))))))))))</f>
        <v/>
      </c>
      <c r="T72" s="20" t="n"/>
    </row>
    <row r="73" ht="22" customHeight="1">
      <c r="A73" s="20" t="n"/>
      <c r="B73" s="20" t="n"/>
      <c r="C73" s="20" t="n"/>
      <c r="D73" s="23">
        <f>IF(C73="","",IFERROR(_xlfn.XLOOKUP(C73,tblInventario[ID del soporte],tblInventario[Tipo],""),""))</f>
        <v/>
      </c>
      <c r="E73" s="20" t="n"/>
      <c r="F73" s="22" t="n"/>
      <c r="G73" s="20" t="n"/>
      <c r="H73" s="21" t="n"/>
      <c r="I73" s="22" t="n"/>
      <c r="J73" s="20" t="n"/>
      <c r="K73" s="21" t="n"/>
      <c r="L73" s="20" t="n"/>
      <c r="M73" s="22" t="n"/>
      <c r="N73" s="20" t="n"/>
      <c r="O73" s="20" t="n"/>
      <c r="P73" s="22" t="n"/>
      <c r="Q73" s="26" t="n"/>
      <c r="R73" s="23">
        <f>IF(A73="","",IF(I73="","Abierto",IF(D73="Tarjeta",IF(OR(L73&lt;&gt;"Sí",N73&lt;&gt;"Sí",O73&lt;&gt;"Sí"),"Pendiente","Cerrado"),IF(D73="Batería","Cerrado","Revisar"))))</f>
        <v/>
      </c>
      <c r="S73" s="25">
        <f>IF(A73="","",IF(B73="","Falta la sesión",IF(C73="","Falta el soporte",IF(D73="","Soporte no encontrado",IF(COUNTIFS(tblControl[ID del soporte],C73,tblControl[Estado del control],"Abierto")&gt;1,"Soporte asignado más de una vez",IF(F73="","Falta la fecha de salida",IF(AND(I73&lt;&gt;"",I73&lt;F73),"La devolución es anterior a la salida",IF(AND(D73="Batería",G73=""),"Falta la carga de salida",IF(AND(D73="Batería",G73&lt;Resumen!$C$3),"Carga de salida inferior al mínimo",IF(AND(D73="Tarjeta",H73=""),"Falta el espacio libre de salida",IF(AND(D73="Tarjeta",I73&lt;&gt;"",L73&lt;&gt;"Sí"),"Descarga pendiente",IF(AND(D73="Tarjeta",L73="Sí",N73&lt;&gt;"Sí"),"Verificación pendiente",IF(AND(D73="Tarjeta",N73="Sí",O73&lt;&gt;"Sí"),"Borrado pendiente",IF(Q73&lt;&gt;"","Revisar incidencia","Correcto"))))))))))))))</f>
        <v/>
      </c>
      <c r="T73" s="20" t="n"/>
    </row>
    <row r="74" ht="22" customHeight="1">
      <c r="A74" s="20" t="n"/>
      <c r="B74" s="20" t="n"/>
      <c r="C74" s="20" t="n"/>
      <c r="D74" s="23">
        <f>IF(C74="","",IFERROR(_xlfn.XLOOKUP(C74,tblInventario[ID del soporte],tblInventario[Tipo],""),""))</f>
        <v/>
      </c>
      <c r="E74" s="20" t="n"/>
      <c r="F74" s="22" t="n"/>
      <c r="G74" s="20" t="n"/>
      <c r="H74" s="21" t="n"/>
      <c r="I74" s="22" t="n"/>
      <c r="J74" s="20" t="n"/>
      <c r="K74" s="21" t="n"/>
      <c r="L74" s="20" t="n"/>
      <c r="M74" s="22" t="n"/>
      <c r="N74" s="20" t="n"/>
      <c r="O74" s="20" t="n"/>
      <c r="P74" s="22" t="n"/>
      <c r="Q74" s="26" t="n"/>
      <c r="R74" s="23">
        <f>IF(A74="","",IF(I74="","Abierto",IF(D74="Tarjeta",IF(OR(L74&lt;&gt;"Sí",N74&lt;&gt;"Sí",O74&lt;&gt;"Sí"),"Pendiente","Cerrado"),IF(D74="Batería","Cerrado","Revisar"))))</f>
        <v/>
      </c>
      <c r="S74" s="25">
        <f>IF(A74="","",IF(B74="","Falta la sesión",IF(C74="","Falta el soporte",IF(D74="","Soporte no encontrado",IF(COUNTIFS(tblControl[ID del soporte],C74,tblControl[Estado del control],"Abierto")&gt;1,"Soporte asignado más de una vez",IF(F74="","Falta la fecha de salida",IF(AND(I74&lt;&gt;"",I74&lt;F74),"La devolución es anterior a la salida",IF(AND(D74="Batería",G74=""),"Falta la carga de salida",IF(AND(D74="Batería",G74&lt;Resumen!$C$3),"Carga de salida inferior al mínimo",IF(AND(D74="Tarjeta",H74=""),"Falta el espacio libre de salida",IF(AND(D74="Tarjeta",I74&lt;&gt;"",L74&lt;&gt;"Sí"),"Descarga pendiente",IF(AND(D74="Tarjeta",L74="Sí",N74&lt;&gt;"Sí"),"Verificación pendiente",IF(AND(D74="Tarjeta",N74="Sí",O74&lt;&gt;"Sí"),"Borrado pendiente",IF(Q74&lt;&gt;"","Revisar incidencia","Correcto"))))))))))))))</f>
        <v/>
      </c>
      <c r="T74" s="20" t="n"/>
    </row>
    <row r="75" ht="22" customHeight="1">
      <c r="A75" s="20" t="n"/>
      <c r="B75" s="20" t="n"/>
      <c r="C75" s="20" t="n"/>
      <c r="D75" s="23">
        <f>IF(C75="","",IFERROR(_xlfn.XLOOKUP(C75,tblInventario[ID del soporte],tblInventario[Tipo],""),""))</f>
        <v/>
      </c>
      <c r="E75" s="20" t="n"/>
      <c r="F75" s="22" t="n"/>
      <c r="G75" s="20" t="n"/>
      <c r="H75" s="21" t="n"/>
      <c r="I75" s="22" t="n"/>
      <c r="J75" s="20" t="n"/>
      <c r="K75" s="21" t="n"/>
      <c r="L75" s="20" t="n"/>
      <c r="M75" s="22" t="n"/>
      <c r="N75" s="20" t="n"/>
      <c r="O75" s="20" t="n"/>
      <c r="P75" s="22" t="n"/>
      <c r="Q75" s="26" t="n"/>
      <c r="R75" s="23">
        <f>IF(A75="","",IF(I75="","Abierto",IF(D75="Tarjeta",IF(OR(L75&lt;&gt;"Sí",N75&lt;&gt;"Sí",O75&lt;&gt;"Sí"),"Pendiente","Cerrado"),IF(D75="Batería","Cerrado","Revisar"))))</f>
        <v/>
      </c>
      <c r="S75" s="25">
        <f>IF(A75="","",IF(B75="","Falta la sesión",IF(C75="","Falta el soporte",IF(D75="","Soporte no encontrado",IF(COUNTIFS(tblControl[ID del soporte],C75,tblControl[Estado del control],"Abierto")&gt;1,"Soporte asignado más de una vez",IF(F75="","Falta la fecha de salida",IF(AND(I75&lt;&gt;"",I75&lt;F75),"La devolución es anterior a la salida",IF(AND(D75="Batería",G75=""),"Falta la carga de salida",IF(AND(D75="Batería",G75&lt;Resumen!$C$3),"Carga de salida inferior al mínimo",IF(AND(D75="Tarjeta",H75=""),"Falta el espacio libre de salida",IF(AND(D75="Tarjeta",I75&lt;&gt;"",L75&lt;&gt;"Sí"),"Descarga pendiente",IF(AND(D75="Tarjeta",L75="Sí",N75&lt;&gt;"Sí"),"Verificación pendiente",IF(AND(D75="Tarjeta",N75="Sí",O75&lt;&gt;"Sí"),"Borrado pendiente",IF(Q75&lt;&gt;"","Revisar incidencia","Correcto"))))))))))))))</f>
        <v/>
      </c>
      <c r="T75" s="20" t="n"/>
    </row>
    <row r="76" ht="22" customHeight="1">
      <c r="A76" s="20" t="n"/>
      <c r="B76" s="20" t="n"/>
      <c r="C76" s="20" t="n"/>
      <c r="D76" s="23">
        <f>IF(C76="","",IFERROR(_xlfn.XLOOKUP(C76,tblInventario[ID del soporte],tblInventario[Tipo],""),""))</f>
        <v/>
      </c>
      <c r="E76" s="20" t="n"/>
      <c r="F76" s="22" t="n"/>
      <c r="G76" s="20" t="n"/>
      <c r="H76" s="21" t="n"/>
      <c r="I76" s="22" t="n"/>
      <c r="J76" s="20" t="n"/>
      <c r="K76" s="21" t="n"/>
      <c r="L76" s="20" t="n"/>
      <c r="M76" s="22" t="n"/>
      <c r="N76" s="20" t="n"/>
      <c r="O76" s="20" t="n"/>
      <c r="P76" s="22" t="n"/>
      <c r="Q76" s="26" t="n"/>
      <c r="R76" s="23">
        <f>IF(A76="","",IF(I76="","Abierto",IF(D76="Tarjeta",IF(OR(L76&lt;&gt;"Sí",N76&lt;&gt;"Sí",O76&lt;&gt;"Sí"),"Pendiente","Cerrado"),IF(D76="Batería","Cerrado","Revisar"))))</f>
        <v/>
      </c>
      <c r="S76" s="25">
        <f>IF(A76="","",IF(B76="","Falta la sesión",IF(C76="","Falta el soporte",IF(D76="","Soporte no encontrado",IF(COUNTIFS(tblControl[ID del soporte],C76,tblControl[Estado del control],"Abierto")&gt;1,"Soporte asignado más de una vez",IF(F76="","Falta la fecha de salida",IF(AND(I76&lt;&gt;"",I76&lt;F76),"La devolución es anterior a la salida",IF(AND(D76="Batería",G76=""),"Falta la carga de salida",IF(AND(D76="Batería",G76&lt;Resumen!$C$3),"Carga de salida inferior al mínimo",IF(AND(D76="Tarjeta",H76=""),"Falta el espacio libre de salida",IF(AND(D76="Tarjeta",I76&lt;&gt;"",L76&lt;&gt;"Sí"),"Descarga pendiente",IF(AND(D76="Tarjeta",L76="Sí",N76&lt;&gt;"Sí"),"Verificación pendiente",IF(AND(D76="Tarjeta",N76="Sí",O76&lt;&gt;"Sí"),"Borrado pendiente",IF(Q76&lt;&gt;"","Revisar incidencia","Correcto"))))))))))))))</f>
        <v/>
      </c>
      <c r="T76" s="20" t="n"/>
    </row>
    <row r="77" ht="22" customHeight="1">
      <c r="A77" s="20" t="n"/>
      <c r="B77" s="20" t="n"/>
      <c r="C77" s="20" t="n"/>
      <c r="D77" s="23">
        <f>IF(C77="","",IFERROR(_xlfn.XLOOKUP(C77,tblInventario[ID del soporte],tblInventario[Tipo],""),""))</f>
        <v/>
      </c>
      <c r="E77" s="20" t="n"/>
      <c r="F77" s="22" t="n"/>
      <c r="G77" s="20" t="n"/>
      <c r="H77" s="21" t="n"/>
      <c r="I77" s="22" t="n"/>
      <c r="J77" s="20" t="n"/>
      <c r="K77" s="21" t="n"/>
      <c r="L77" s="20" t="n"/>
      <c r="M77" s="22" t="n"/>
      <c r="N77" s="20" t="n"/>
      <c r="O77" s="20" t="n"/>
      <c r="P77" s="22" t="n"/>
      <c r="Q77" s="26" t="n"/>
      <c r="R77" s="23">
        <f>IF(A77="","",IF(I77="","Abierto",IF(D77="Tarjeta",IF(OR(L77&lt;&gt;"Sí",N77&lt;&gt;"Sí",O77&lt;&gt;"Sí"),"Pendiente","Cerrado"),IF(D77="Batería","Cerrado","Revisar"))))</f>
        <v/>
      </c>
      <c r="S77" s="25">
        <f>IF(A77="","",IF(B77="","Falta la sesión",IF(C77="","Falta el soporte",IF(D77="","Soporte no encontrado",IF(COUNTIFS(tblControl[ID del soporte],C77,tblControl[Estado del control],"Abierto")&gt;1,"Soporte asignado más de una vez",IF(F77="","Falta la fecha de salida",IF(AND(I77&lt;&gt;"",I77&lt;F77),"La devolución es anterior a la salida",IF(AND(D77="Batería",G77=""),"Falta la carga de salida",IF(AND(D77="Batería",G77&lt;Resumen!$C$3),"Carga de salida inferior al mínimo",IF(AND(D77="Tarjeta",H77=""),"Falta el espacio libre de salida",IF(AND(D77="Tarjeta",I77&lt;&gt;"",L77&lt;&gt;"Sí"),"Descarga pendiente",IF(AND(D77="Tarjeta",L77="Sí",N77&lt;&gt;"Sí"),"Verificación pendiente",IF(AND(D77="Tarjeta",N77="Sí",O77&lt;&gt;"Sí"),"Borrado pendiente",IF(Q77&lt;&gt;"","Revisar incidencia","Correcto"))))))))))))))</f>
        <v/>
      </c>
      <c r="T77" s="20" t="n"/>
    </row>
    <row r="78" ht="22" customHeight="1">
      <c r="A78" s="20" t="n"/>
      <c r="B78" s="20" t="n"/>
      <c r="C78" s="20" t="n"/>
      <c r="D78" s="23">
        <f>IF(C78="","",IFERROR(_xlfn.XLOOKUP(C78,tblInventario[ID del soporte],tblInventario[Tipo],""),""))</f>
        <v/>
      </c>
      <c r="E78" s="20" t="n"/>
      <c r="F78" s="22" t="n"/>
      <c r="G78" s="20" t="n"/>
      <c r="H78" s="21" t="n"/>
      <c r="I78" s="22" t="n"/>
      <c r="J78" s="20" t="n"/>
      <c r="K78" s="21" t="n"/>
      <c r="L78" s="20" t="n"/>
      <c r="M78" s="22" t="n"/>
      <c r="N78" s="20" t="n"/>
      <c r="O78" s="20" t="n"/>
      <c r="P78" s="22" t="n"/>
      <c r="Q78" s="26" t="n"/>
      <c r="R78" s="23">
        <f>IF(A78="","",IF(I78="","Abierto",IF(D78="Tarjeta",IF(OR(L78&lt;&gt;"Sí",N78&lt;&gt;"Sí",O78&lt;&gt;"Sí"),"Pendiente","Cerrado"),IF(D78="Batería","Cerrado","Revisar"))))</f>
        <v/>
      </c>
      <c r="S78" s="25">
        <f>IF(A78="","",IF(B78="","Falta la sesión",IF(C78="","Falta el soporte",IF(D78="","Soporte no encontrado",IF(COUNTIFS(tblControl[ID del soporte],C78,tblControl[Estado del control],"Abierto")&gt;1,"Soporte asignado más de una vez",IF(F78="","Falta la fecha de salida",IF(AND(I78&lt;&gt;"",I78&lt;F78),"La devolución es anterior a la salida",IF(AND(D78="Batería",G78=""),"Falta la carga de salida",IF(AND(D78="Batería",G78&lt;Resumen!$C$3),"Carga de salida inferior al mínimo",IF(AND(D78="Tarjeta",H78=""),"Falta el espacio libre de salida",IF(AND(D78="Tarjeta",I78&lt;&gt;"",L78&lt;&gt;"Sí"),"Descarga pendiente",IF(AND(D78="Tarjeta",L78="Sí",N78&lt;&gt;"Sí"),"Verificación pendiente",IF(AND(D78="Tarjeta",N78="Sí",O78&lt;&gt;"Sí"),"Borrado pendiente",IF(Q78&lt;&gt;"","Revisar incidencia","Correcto"))))))))))))))</f>
        <v/>
      </c>
      <c r="T78" s="20" t="n"/>
    </row>
    <row r="79" ht="22" customHeight="1">
      <c r="A79" s="20" t="n"/>
      <c r="B79" s="20" t="n"/>
      <c r="C79" s="20" t="n"/>
      <c r="D79" s="23">
        <f>IF(C79="","",IFERROR(_xlfn.XLOOKUP(C79,tblInventario[ID del soporte],tblInventario[Tipo],""),""))</f>
        <v/>
      </c>
      <c r="E79" s="20" t="n"/>
      <c r="F79" s="22" t="n"/>
      <c r="G79" s="20" t="n"/>
      <c r="H79" s="21" t="n"/>
      <c r="I79" s="22" t="n"/>
      <c r="J79" s="20" t="n"/>
      <c r="K79" s="21" t="n"/>
      <c r="L79" s="20" t="n"/>
      <c r="M79" s="22" t="n"/>
      <c r="N79" s="20" t="n"/>
      <c r="O79" s="20" t="n"/>
      <c r="P79" s="22" t="n"/>
      <c r="Q79" s="26" t="n"/>
      <c r="R79" s="23">
        <f>IF(A79="","",IF(I79="","Abierto",IF(D79="Tarjeta",IF(OR(L79&lt;&gt;"Sí",N79&lt;&gt;"Sí",O79&lt;&gt;"Sí"),"Pendiente","Cerrado"),IF(D79="Batería","Cerrado","Revisar"))))</f>
        <v/>
      </c>
      <c r="S79" s="25">
        <f>IF(A79="","",IF(B79="","Falta la sesión",IF(C79="","Falta el soporte",IF(D79="","Soporte no encontrado",IF(COUNTIFS(tblControl[ID del soporte],C79,tblControl[Estado del control],"Abierto")&gt;1,"Soporte asignado más de una vez",IF(F79="","Falta la fecha de salida",IF(AND(I79&lt;&gt;"",I79&lt;F79),"La devolución es anterior a la salida",IF(AND(D79="Batería",G79=""),"Falta la carga de salida",IF(AND(D79="Batería",G79&lt;Resumen!$C$3),"Carga de salida inferior al mínimo",IF(AND(D79="Tarjeta",H79=""),"Falta el espacio libre de salida",IF(AND(D79="Tarjeta",I79&lt;&gt;"",L79&lt;&gt;"Sí"),"Descarga pendiente",IF(AND(D79="Tarjeta",L79="Sí",N79&lt;&gt;"Sí"),"Verificación pendiente",IF(AND(D79="Tarjeta",N79="Sí",O79&lt;&gt;"Sí"),"Borrado pendiente",IF(Q79&lt;&gt;"","Revisar incidencia","Correcto"))))))))))))))</f>
        <v/>
      </c>
      <c r="T79" s="20" t="n"/>
    </row>
    <row r="80" ht="22" customHeight="1">
      <c r="A80" s="20" t="n"/>
      <c r="B80" s="20" t="n"/>
      <c r="C80" s="20" t="n"/>
      <c r="D80" s="23">
        <f>IF(C80="","",IFERROR(_xlfn.XLOOKUP(C80,tblInventario[ID del soporte],tblInventario[Tipo],""),""))</f>
        <v/>
      </c>
      <c r="E80" s="20" t="n"/>
      <c r="F80" s="22" t="n"/>
      <c r="G80" s="20" t="n"/>
      <c r="H80" s="21" t="n"/>
      <c r="I80" s="22" t="n"/>
      <c r="J80" s="20" t="n"/>
      <c r="K80" s="21" t="n"/>
      <c r="L80" s="20" t="n"/>
      <c r="M80" s="22" t="n"/>
      <c r="N80" s="20" t="n"/>
      <c r="O80" s="20" t="n"/>
      <c r="P80" s="22" t="n"/>
      <c r="Q80" s="26" t="n"/>
      <c r="R80" s="23">
        <f>IF(A80="","",IF(I80="","Abierto",IF(D80="Tarjeta",IF(OR(L80&lt;&gt;"Sí",N80&lt;&gt;"Sí",O80&lt;&gt;"Sí"),"Pendiente","Cerrado"),IF(D80="Batería","Cerrado","Revisar"))))</f>
        <v/>
      </c>
      <c r="S80" s="25">
        <f>IF(A80="","",IF(B80="","Falta la sesión",IF(C80="","Falta el soporte",IF(D80="","Soporte no encontrado",IF(COUNTIFS(tblControl[ID del soporte],C80,tblControl[Estado del control],"Abierto")&gt;1,"Soporte asignado más de una vez",IF(F80="","Falta la fecha de salida",IF(AND(I80&lt;&gt;"",I80&lt;F80),"La devolución es anterior a la salida",IF(AND(D80="Batería",G80=""),"Falta la carga de salida",IF(AND(D80="Batería",G80&lt;Resumen!$C$3),"Carga de salida inferior al mínimo",IF(AND(D80="Tarjeta",H80=""),"Falta el espacio libre de salida",IF(AND(D80="Tarjeta",I80&lt;&gt;"",L80&lt;&gt;"Sí"),"Descarga pendiente",IF(AND(D80="Tarjeta",L80="Sí",N80&lt;&gt;"Sí"),"Verificación pendiente",IF(AND(D80="Tarjeta",N80="Sí",O80&lt;&gt;"Sí"),"Borrado pendiente",IF(Q80&lt;&gt;"","Revisar incidencia","Correcto"))))))))))))))</f>
        <v/>
      </c>
      <c r="T80" s="20" t="n"/>
    </row>
    <row r="81" ht="22" customHeight="1">
      <c r="A81" s="20" t="n"/>
      <c r="B81" s="20" t="n"/>
      <c r="C81" s="20" t="n"/>
      <c r="D81" s="23">
        <f>IF(C81="","",IFERROR(_xlfn.XLOOKUP(C81,tblInventario[ID del soporte],tblInventario[Tipo],""),""))</f>
        <v/>
      </c>
      <c r="E81" s="20" t="n"/>
      <c r="F81" s="22" t="n"/>
      <c r="G81" s="20" t="n"/>
      <c r="H81" s="21" t="n"/>
      <c r="I81" s="22" t="n"/>
      <c r="J81" s="20" t="n"/>
      <c r="K81" s="21" t="n"/>
      <c r="L81" s="20" t="n"/>
      <c r="M81" s="22" t="n"/>
      <c r="N81" s="20" t="n"/>
      <c r="O81" s="20" t="n"/>
      <c r="P81" s="22" t="n"/>
      <c r="Q81" s="26" t="n"/>
      <c r="R81" s="23">
        <f>IF(A81="","",IF(I81="","Abierto",IF(D81="Tarjeta",IF(OR(L81&lt;&gt;"Sí",N81&lt;&gt;"Sí",O81&lt;&gt;"Sí"),"Pendiente","Cerrado"),IF(D81="Batería","Cerrado","Revisar"))))</f>
        <v/>
      </c>
      <c r="S81" s="25">
        <f>IF(A81="","",IF(B81="","Falta la sesión",IF(C81="","Falta el soporte",IF(D81="","Soporte no encontrado",IF(COUNTIFS(tblControl[ID del soporte],C81,tblControl[Estado del control],"Abierto")&gt;1,"Soporte asignado más de una vez",IF(F81="","Falta la fecha de salida",IF(AND(I81&lt;&gt;"",I81&lt;F81),"La devolución es anterior a la salida",IF(AND(D81="Batería",G81=""),"Falta la carga de salida",IF(AND(D81="Batería",G81&lt;Resumen!$C$3),"Carga de salida inferior al mínimo",IF(AND(D81="Tarjeta",H81=""),"Falta el espacio libre de salida",IF(AND(D81="Tarjeta",I81&lt;&gt;"",L81&lt;&gt;"Sí"),"Descarga pendiente",IF(AND(D81="Tarjeta",L81="Sí",N81&lt;&gt;"Sí"),"Verificación pendiente",IF(AND(D81="Tarjeta",N81="Sí",O81&lt;&gt;"Sí"),"Borrado pendiente",IF(Q81&lt;&gt;"","Revisar incidencia","Correcto"))))))))))))))</f>
        <v/>
      </c>
      <c r="T81" s="20" t="n"/>
    </row>
    <row r="82" ht="22" customHeight="1">
      <c r="A82" s="20" t="n"/>
      <c r="B82" s="20" t="n"/>
      <c r="C82" s="20" t="n"/>
      <c r="D82" s="23">
        <f>IF(C82="","",IFERROR(_xlfn.XLOOKUP(C82,tblInventario[ID del soporte],tblInventario[Tipo],""),""))</f>
        <v/>
      </c>
      <c r="E82" s="20" t="n"/>
      <c r="F82" s="22" t="n"/>
      <c r="G82" s="20" t="n"/>
      <c r="H82" s="21" t="n"/>
      <c r="I82" s="22" t="n"/>
      <c r="J82" s="20" t="n"/>
      <c r="K82" s="21" t="n"/>
      <c r="L82" s="20" t="n"/>
      <c r="M82" s="22" t="n"/>
      <c r="N82" s="20" t="n"/>
      <c r="O82" s="20" t="n"/>
      <c r="P82" s="22" t="n"/>
      <c r="Q82" s="26" t="n"/>
      <c r="R82" s="23">
        <f>IF(A82="","",IF(I82="","Abierto",IF(D82="Tarjeta",IF(OR(L82&lt;&gt;"Sí",N82&lt;&gt;"Sí",O82&lt;&gt;"Sí"),"Pendiente","Cerrado"),IF(D82="Batería","Cerrado","Revisar"))))</f>
        <v/>
      </c>
      <c r="S82" s="25">
        <f>IF(A82="","",IF(B82="","Falta la sesión",IF(C82="","Falta el soporte",IF(D82="","Soporte no encontrado",IF(COUNTIFS(tblControl[ID del soporte],C82,tblControl[Estado del control],"Abierto")&gt;1,"Soporte asignado más de una vez",IF(F82="","Falta la fecha de salida",IF(AND(I82&lt;&gt;"",I82&lt;F82),"La devolución es anterior a la salida",IF(AND(D82="Batería",G82=""),"Falta la carga de salida",IF(AND(D82="Batería",G82&lt;Resumen!$C$3),"Carga de salida inferior al mínimo",IF(AND(D82="Tarjeta",H82=""),"Falta el espacio libre de salida",IF(AND(D82="Tarjeta",I82&lt;&gt;"",L82&lt;&gt;"Sí"),"Descarga pendiente",IF(AND(D82="Tarjeta",L82="Sí",N82&lt;&gt;"Sí"),"Verificación pendiente",IF(AND(D82="Tarjeta",N82="Sí",O82&lt;&gt;"Sí"),"Borrado pendiente",IF(Q82&lt;&gt;"","Revisar incidencia","Correcto"))))))))))))))</f>
        <v/>
      </c>
      <c r="T82" s="20" t="n"/>
    </row>
    <row r="83" ht="22" customHeight="1">
      <c r="A83" s="20" t="n"/>
      <c r="B83" s="20" t="n"/>
      <c r="C83" s="20" t="n"/>
      <c r="D83" s="23">
        <f>IF(C83="","",IFERROR(_xlfn.XLOOKUP(C83,tblInventario[ID del soporte],tblInventario[Tipo],""),""))</f>
        <v/>
      </c>
      <c r="E83" s="20" t="n"/>
      <c r="F83" s="22" t="n"/>
      <c r="G83" s="20" t="n"/>
      <c r="H83" s="21" t="n"/>
      <c r="I83" s="22" t="n"/>
      <c r="J83" s="20" t="n"/>
      <c r="K83" s="21" t="n"/>
      <c r="L83" s="20" t="n"/>
      <c r="M83" s="22" t="n"/>
      <c r="N83" s="20" t="n"/>
      <c r="O83" s="20" t="n"/>
      <c r="P83" s="22" t="n"/>
      <c r="Q83" s="26" t="n"/>
      <c r="R83" s="23">
        <f>IF(A83="","",IF(I83="","Abierto",IF(D83="Tarjeta",IF(OR(L83&lt;&gt;"Sí",N83&lt;&gt;"Sí",O83&lt;&gt;"Sí"),"Pendiente","Cerrado"),IF(D83="Batería","Cerrado","Revisar"))))</f>
        <v/>
      </c>
      <c r="S83" s="25">
        <f>IF(A83="","",IF(B83="","Falta la sesión",IF(C83="","Falta el soporte",IF(D83="","Soporte no encontrado",IF(COUNTIFS(tblControl[ID del soporte],C83,tblControl[Estado del control],"Abierto")&gt;1,"Soporte asignado más de una vez",IF(F83="","Falta la fecha de salida",IF(AND(I83&lt;&gt;"",I83&lt;F83),"La devolución es anterior a la salida",IF(AND(D83="Batería",G83=""),"Falta la carga de salida",IF(AND(D83="Batería",G83&lt;Resumen!$C$3),"Carga de salida inferior al mínimo",IF(AND(D83="Tarjeta",H83=""),"Falta el espacio libre de salida",IF(AND(D83="Tarjeta",I83&lt;&gt;"",L83&lt;&gt;"Sí"),"Descarga pendiente",IF(AND(D83="Tarjeta",L83="Sí",N83&lt;&gt;"Sí"),"Verificación pendiente",IF(AND(D83="Tarjeta",N83="Sí",O83&lt;&gt;"Sí"),"Borrado pendiente",IF(Q83&lt;&gt;"","Revisar incidencia","Correcto"))))))))))))))</f>
        <v/>
      </c>
      <c r="T83" s="20" t="n"/>
    </row>
    <row r="84" ht="22" customHeight="1">
      <c r="A84" s="20" t="n"/>
      <c r="B84" s="20" t="n"/>
      <c r="C84" s="20" t="n"/>
      <c r="D84" s="23">
        <f>IF(C84="","",IFERROR(_xlfn.XLOOKUP(C84,tblInventario[ID del soporte],tblInventario[Tipo],""),""))</f>
        <v/>
      </c>
      <c r="E84" s="20" t="n"/>
      <c r="F84" s="22" t="n"/>
      <c r="G84" s="20" t="n"/>
      <c r="H84" s="21" t="n"/>
      <c r="I84" s="22" t="n"/>
      <c r="J84" s="20" t="n"/>
      <c r="K84" s="21" t="n"/>
      <c r="L84" s="20" t="n"/>
      <c r="M84" s="22" t="n"/>
      <c r="N84" s="20" t="n"/>
      <c r="O84" s="20" t="n"/>
      <c r="P84" s="22" t="n"/>
      <c r="Q84" s="26" t="n"/>
      <c r="R84" s="23">
        <f>IF(A84="","",IF(I84="","Abierto",IF(D84="Tarjeta",IF(OR(L84&lt;&gt;"Sí",N84&lt;&gt;"Sí",O84&lt;&gt;"Sí"),"Pendiente","Cerrado"),IF(D84="Batería","Cerrado","Revisar"))))</f>
        <v/>
      </c>
      <c r="S84" s="25">
        <f>IF(A84="","",IF(B84="","Falta la sesión",IF(C84="","Falta el soporte",IF(D84="","Soporte no encontrado",IF(COUNTIFS(tblControl[ID del soporte],C84,tblControl[Estado del control],"Abierto")&gt;1,"Soporte asignado más de una vez",IF(F84="","Falta la fecha de salida",IF(AND(I84&lt;&gt;"",I84&lt;F84),"La devolución es anterior a la salida",IF(AND(D84="Batería",G84=""),"Falta la carga de salida",IF(AND(D84="Batería",G84&lt;Resumen!$C$3),"Carga de salida inferior al mínimo",IF(AND(D84="Tarjeta",H84=""),"Falta el espacio libre de salida",IF(AND(D84="Tarjeta",I84&lt;&gt;"",L84&lt;&gt;"Sí"),"Descarga pendiente",IF(AND(D84="Tarjeta",L84="Sí",N84&lt;&gt;"Sí"),"Verificación pendiente",IF(AND(D84="Tarjeta",N84="Sí",O84&lt;&gt;"Sí"),"Borrado pendiente",IF(Q84&lt;&gt;"","Revisar incidencia","Correcto"))))))))))))))</f>
        <v/>
      </c>
      <c r="T84" s="20" t="n"/>
    </row>
    <row r="85" ht="22" customHeight="1">
      <c r="A85" s="20" t="n"/>
      <c r="B85" s="20" t="n"/>
      <c r="C85" s="20" t="n"/>
      <c r="D85" s="23">
        <f>IF(C85="","",IFERROR(_xlfn.XLOOKUP(C85,tblInventario[ID del soporte],tblInventario[Tipo],""),""))</f>
        <v/>
      </c>
      <c r="E85" s="20" t="n"/>
      <c r="F85" s="22" t="n"/>
      <c r="G85" s="20" t="n"/>
      <c r="H85" s="21" t="n"/>
      <c r="I85" s="22" t="n"/>
      <c r="J85" s="20" t="n"/>
      <c r="K85" s="21" t="n"/>
      <c r="L85" s="20" t="n"/>
      <c r="M85" s="22" t="n"/>
      <c r="N85" s="20" t="n"/>
      <c r="O85" s="20" t="n"/>
      <c r="P85" s="22" t="n"/>
      <c r="Q85" s="26" t="n"/>
      <c r="R85" s="23">
        <f>IF(A85="","",IF(I85="","Abierto",IF(D85="Tarjeta",IF(OR(L85&lt;&gt;"Sí",N85&lt;&gt;"Sí",O85&lt;&gt;"Sí"),"Pendiente","Cerrado"),IF(D85="Batería","Cerrado","Revisar"))))</f>
        <v/>
      </c>
      <c r="S85" s="25">
        <f>IF(A85="","",IF(B85="","Falta la sesión",IF(C85="","Falta el soporte",IF(D85="","Soporte no encontrado",IF(COUNTIFS(tblControl[ID del soporte],C85,tblControl[Estado del control],"Abierto")&gt;1,"Soporte asignado más de una vez",IF(F85="","Falta la fecha de salida",IF(AND(I85&lt;&gt;"",I85&lt;F85),"La devolución es anterior a la salida",IF(AND(D85="Batería",G85=""),"Falta la carga de salida",IF(AND(D85="Batería",G85&lt;Resumen!$C$3),"Carga de salida inferior al mínimo",IF(AND(D85="Tarjeta",H85=""),"Falta el espacio libre de salida",IF(AND(D85="Tarjeta",I85&lt;&gt;"",L85&lt;&gt;"Sí"),"Descarga pendiente",IF(AND(D85="Tarjeta",L85="Sí",N85&lt;&gt;"Sí"),"Verificación pendiente",IF(AND(D85="Tarjeta",N85="Sí",O85&lt;&gt;"Sí"),"Borrado pendiente",IF(Q85&lt;&gt;"","Revisar incidencia","Correcto"))))))))))))))</f>
        <v/>
      </c>
      <c r="T85" s="20" t="n"/>
    </row>
    <row r="86" ht="22" customHeight="1">
      <c r="A86" s="20" t="n"/>
      <c r="B86" s="20" t="n"/>
      <c r="C86" s="20" t="n"/>
      <c r="D86" s="23">
        <f>IF(C86="","",IFERROR(_xlfn.XLOOKUP(C86,tblInventario[ID del soporte],tblInventario[Tipo],""),""))</f>
        <v/>
      </c>
      <c r="E86" s="20" t="n"/>
      <c r="F86" s="22" t="n"/>
      <c r="G86" s="20" t="n"/>
      <c r="H86" s="21" t="n"/>
      <c r="I86" s="22" t="n"/>
      <c r="J86" s="20" t="n"/>
      <c r="K86" s="21" t="n"/>
      <c r="L86" s="20" t="n"/>
      <c r="M86" s="22" t="n"/>
      <c r="N86" s="20" t="n"/>
      <c r="O86" s="20" t="n"/>
      <c r="P86" s="22" t="n"/>
      <c r="Q86" s="26" t="n"/>
      <c r="R86" s="23">
        <f>IF(A86="","",IF(I86="","Abierto",IF(D86="Tarjeta",IF(OR(L86&lt;&gt;"Sí",N86&lt;&gt;"Sí",O86&lt;&gt;"Sí"),"Pendiente","Cerrado"),IF(D86="Batería","Cerrado","Revisar"))))</f>
        <v/>
      </c>
      <c r="S86" s="25">
        <f>IF(A86="","",IF(B86="","Falta la sesión",IF(C86="","Falta el soporte",IF(D86="","Soporte no encontrado",IF(COUNTIFS(tblControl[ID del soporte],C86,tblControl[Estado del control],"Abierto")&gt;1,"Soporte asignado más de una vez",IF(F86="","Falta la fecha de salida",IF(AND(I86&lt;&gt;"",I86&lt;F86),"La devolución es anterior a la salida",IF(AND(D86="Batería",G86=""),"Falta la carga de salida",IF(AND(D86="Batería",G86&lt;Resumen!$C$3),"Carga de salida inferior al mínimo",IF(AND(D86="Tarjeta",H86=""),"Falta el espacio libre de salida",IF(AND(D86="Tarjeta",I86&lt;&gt;"",L86&lt;&gt;"Sí"),"Descarga pendiente",IF(AND(D86="Tarjeta",L86="Sí",N86&lt;&gt;"Sí"),"Verificación pendiente",IF(AND(D86="Tarjeta",N86="Sí",O86&lt;&gt;"Sí"),"Borrado pendiente",IF(Q86&lt;&gt;"","Revisar incidencia","Correcto"))))))))))))))</f>
        <v/>
      </c>
      <c r="T86" s="20" t="n"/>
    </row>
    <row r="87" ht="22" customHeight="1">
      <c r="A87" s="20" t="n"/>
      <c r="B87" s="20" t="n"/>
      <c r="C87" s="20" t="n"/>
      <c r="D87" s="23">
        <f>IF(C87="","",IFERROR(_xlfn.XLOOKUP(C87,tblInventario[ID del soporte],tblInventario[Tipo],""),""))</f>
        <v/>
      </c>
      <c r="E87" s="20" t="n"/>
      <c r="F87" s="22" t="n"/>
      <c r="G87" s="20" t="n"/>
      <c r="H87" s="21" t="n"/>
      <c r="I87" s="22" t="n"/>
      <c r="J87" s="20" t="n"/>
      <c r="K87" s="21" t="n"/>
      <c r="L87" s="20" t="n"/>
      <c r="M87" s="22" t="n"/>
      <c r="N87" s="20" t="n"/>
      <c r="O87" s="20" t="n"/>
      <c r="P87" s="22" t="n"/>
      <c r="Q87" s="26" t="n"/>
      <c r="R87" s="23">
        <f>IF(A87="","",IF(I87="","Abierto",IF(D87="Tarjeta",IF(OR(L87&lt;&gt;"Sí",N87&lt;&gt;"Sí",O87&lt;&gt;"Sí"),"Pendiente","Cerrado"),IF(D87="Batería","Cerrado","Revisar"))))</f>
        <v/>
      </c>
      <c r="S87" s="25">
        <f>IF(A87="","",IF(B87="","Falta la sesión",IF(C87="","Falta el soporte",IF(D87="","Soporte no encontrado",IF(COUNTIFS(tblControl[ID del soporte],C87,tblControl[Estado del control],"Abierto")&gt;1,"Soporte asignado más de una vez",IF(F87="","Falta la fecha de salida",IF(AND(I87&lt;&gt;"",I87&lt;F87),"La devolución es anterior a la salida",IF(AND(D87="Batería",G87=""),"Falta la carga de salida",IF(AND(D87="Batería",G87&lt;Resumen!$C$3),"Carga de salida inferior al mínimo",IF(AND(D87="Tarjeta",H87=""),"Falta el espacio libre de salida",IF(AND(D87="Tarjeta",I87&lt;&gt;"",L87&lt;&gt;"Sí"),"Descarga pendiente",IF(AND(D87="Tarjeta",L87="Sí",N87&lt;&gt;"Sí"),"Verificación pendiente",IF(AND(D87="Tarjeta",N87="Sí",O87&lt;&gt;"Sí"),"Borrado pendiente",IF(Q87&lt;&gt;"","Revisar incidencia","Correcto"))))))))))))))</f>
        <v/>
      </c>
      <c r="T87" s="20" t="n"/>
    </row>
    <row r="88" ht="22" customHeight="1">
      <c r="A88" s="20" t="n"/>
      <c r="B88" s="20" t="n"/>
      <c r="C88" s="20" t="n"/>
      <c r="D88" s="23">
        <f>IF(C88="","",IFERROR(_xlfn.XLOOKUP(C88,tblInventario[ID del soporte],tblInventario[Tipo],""),""))</f>
        <v/>
      </c>
      <c r="E88" s="20" t="n"/>
      <c r="F88" s="22" t="n"/>
      <c r="G88" s="20" t="n"/>
      <c r="H88" s="21" t="n"/>
      <c r="I88" s="22" t="n"/>
      <c r="J88" s="20" t="n"/>
      <c r="K88" s="21" t="n"/>
      <c r="L88" s="20" t="n"/>
      <c r="M88" s="22" t="n"/>
      <c r="N88" s="20" t="n"/>
      <c r="O88" s="20" t="n"/>
      <c r="P88" s="22" t="n"/>
      <c r="Q88" s="26" t="n"/>
      <c r="R88" s="23">
        <f>IF(A88="","",IF(I88="","Abierto",IF(D88="Tarjeta",IF(OR(L88&lt;&gt;"Sí",N88&lt;&gt;"Sí",O88&lt;&gt;"Sí"),"Pendiente","Cerrado"),IF(D88="Batería","Cerrado","Revisar"))))</f>
        <v/>
      </c>
      <c r="S88" s="25">
        <f>IF(A88="","",IF(B88="","Falta la sesión",IF(C88="","Falta el soporte",IF(D88="","Soporte no encontrado",IF(COUNTIFS(tblControl[ID del soporte],C88,tblControl[Estado del control],"Abierto")&gt;1,"Soporte asignado más de una vez",IF(F88="","Falta la fecha de salida",IF(AND(I88&lt;&gt;"",I88&lt;F88),"La devolución es anterior a la salida",IF(AND(D88="Batería",G88=""),"Falta la carga de salida",IF(AND(D88="Batería",G88&lt;Resumen!$C$3),"Carga de salida inferior al mínimo",IF(AND(D88="Tarjeta",H88=""),"Falta el espacio libre de salida",IF(AND(D88="Tarjeta",I88&lt;&gt;"",L88&lt;&gt;"Sí"),"Descarga pendiente",IF(AND(D88="Tarjeta",L88="Sí",N88&lt;&gt;"Sí"),"Verificación pendiente",IF(AND(D88="Tarjeta",N88="Sí",O88&lt;&gt;"Sí"),"Borrado pendiente",IF(Q88&lt;&gt;"","Revisar incidencia","Correcto"))))))))))))))</f>
        <v/>
      </c>
      <c r="T88" s="20" t="n"/>
    </row>
    <row r="89" ht="22" customHeight="1">
      <c r="A89" s="20" t="n"/>
      <c r="B89" s="20" t="n"/>
      <c r="C89" s="20" t="n"/>
      <c r="D89" s="23">
        <f>IF(C89="","",IFERROR(_xlfn.XLOOKUP(C89,tblInventario[ID del soporte],tblInventario[Tipo],""),""))</f>
        <v/>
      </c>
      <c r="E89" s="20" t="n"/>
      <c r="F89" s="22" t="n"/>
      <c r="G89" s="20" t="n"/>
      <c r="H89" s="21" t="n"/>
      <c r="I89" s="22" t="n"/>
      <c r="J89" s="20" t="n"/>
      <c r="K89" s="21" t="n"/>
      <c r="L89" s="20" t="n"/>
      <c r="M89" s="22" t="n"/>
      <c r="N89" s="20" t="n"/>
      <c r="O89" s="20" t="n"/>
      <c r="P89" s="22" t="n"/>
      <c r="Q89" s="26" t="n"/>
      <c r="R89" s="23">
        <f>IF(A89="","",IF(I89="","Abierto",IF(D89="Tarjeta",IF(OR(L89&lt;&gt;"Sí",N89&lt;&gt;"Sí",O89&lt;&gt;"Sí"),"Pendiente","Cerrado"),IF(D89="Batería","Cerrado","Revisar"))))</f>
        <v/>
      </c>
      <c r="S89" s="25">
        <f>IF(A89="","",IF(B89="","Falta la sesión",IF(C89="","Falta el soporte",IF(D89="","Soporte no encontrado",IF(COUNTIFS(tblControl[ID del soporte],C89,tblControl[Estado del control],"Abierto")&gt;1,"Soporte asignado más de una vez",IF(F89="","Falta la fecha de salida",IF(AND(I89&lt;&gt;"",I89&lt;F89),"La devolución es anterior a la salida",IF(AND(D89="Batería",G89=""),"Falta la carga de salida",IF(AND(D89="Batería",G89&lt;Resumen!$C$3),"Carga de salida inferior al mínimo",IF(AND(D89="Tarjeta",H89=""),"Falta el espacio libre de salida",IF(AND(D89="Tarjeta",I89&lt;&gt;"",L89&lt;&gt;"Sí"),"Descarga pendiente",IF(AND(D89="Tarjeta",L89="Sí",N89&lt;&gt;"Sí"),"Verificación pendiente",IF(AND(D89="Tarjeta",N89="Sí",O89&lt;&gt;"Sí"),"Borrado pendiente",IF(Q89&lt;&gt;"","Revisar incidencia","Correcto"))))))))))))))</f>
        <v/>
      </c>
      <c r="T89" s="20" t="n"/>
    </row>
    <row r="90" ht="22" customHeight="1">
      <c r="A90" s="20" t="n"/>
      <c r="B90" s="20" t="n"/>
      <c r="C90" s="20" t="n"/>
      <c r="D90" s="23">
        <f>IF(C90="","",IFERROR(_xlfn.XLOOKUP(C90,tblInventario[ID del soporte],tblInventario[Tipo],""),""))</f>
        <v/>
      </c>
      <c r="E90" s="20" t="n"/>
      <c r="F90" s="22" t="n"/>
      <c r="G90" s="20" t="n"/>
      <c r="H90" s="21" t="n"/>
      <c r="I90" s="22" t="n"/>
      <c r="J90" s="20" t="n"/>
      <c r="K90" s="21" t="n"/>
      <c r="L90" s="20" t="n"/>
      <c r="M90" s="22" t="n"/>
      <c r="N90" s="20" t="n"/>
      <c r="O90" s="20" t="n"/>
      <c r="P90" s="22" t="n"/>
      <c r="Q90" s="26" t="n"/>
      <c r="R90" s="23">
        <f>IF(A90="","",IF(I90="","Abierto",IF(D90="Tarjeta",IF(OR(L90&lt;&gt;"Sí",N90&lt;&gt;"Sí",O90&lt;&gt;"Sí"),"Pendiente","Cerrado"),IF(D90="Batería","Cerrado","Revisar"))))</f>
        <v/>
      </c>
      <c r="S90" s="25">
        <f>IF(A90="","",IF(B90="","Falta la sesión",IF(C90="","Falta el soporte",IF(D90="","Soporte no encontrado",IF(COUNTIFS(tblControl[ID del soporte],C90,tblControl[Estado del control],"Abierto")&gt;1,"Soporte asignado más de una vez",IF(F90="","Falta la fecha de salida",IF(AND(I90&lt;&gt;"",I90&lt;F90),"La devolución es anterior a la salida",IF(AND(D90="Batería",G90=""),"Falta la carga de salida",IF(AND(D90="Batería",G90&lt;Resumen!$C$3),"Carga de salida inferior al mínimo",IF(AND(D90="Tarjeta",H90=""),"Falta el espacio libre de salida",IF(AND(D90="Tarjeta",I90&lt;&gt;"",L90&lt;&gt;"Sí"),"Descarga pendiente",IF(AND(D90="Tarjeta",L90="Sí",N90&lt;&gt;"Sí"),"Verificación pendiente",IF(AND(D90="Tarjeta",N90="Sí",O90&lt;&gt;"Sí"),"Borrado pendiente",IF(Q90&lt;&gt;"","Revisar incidencia","Correcto"))))))))))))))</f>
        <v/>
      </c>
      <c r="T90" s="20" t="n"/>
    </row>
    <row r="91" ht="22" customHeight="1">
      <c r="A91" s="20" t="n"/>
      <c r="B91" s="20" t="n"/>
      <c r="C91" s="20" t="n"/>
      <c r="D91" s="23">
        <f>IF(C91="","",IFERROR(_xlfn.XLOOKUP(C91,tblInventario[ID del soporte],tblInventario[Tipo],""),""))</f>
        <v/>
      </c>
      <c r="E91" s="20" t="n"/>
      <c r="F91" s="22" t="n"/>
      <c r="G91" s="20" t="n"/>
      <c r="H91" s="21" t="n"/>
      <c r="I91" s="22" t="n"/>
      <c r="J91" s="20" t="n"/>
      <c r="K91" s="21" t="n"/>
      <c r="L91" s="20" t="n"/>
      <c r="M91" s="22" t="n"/>
      <c r="N91" s="20" t="n"/>
      <c r="O91" s="20" t="n"/>
      <c r="P91" s="22" t="n"/>
      <c r="Q91" s="26" t="n"/>
      <c r="R91" s="23">
        <f>IF(A91="","",IF(I91="","Abierto",IF(D91="Tarjeta",IF(OR(L91&lt;&gt;"Sí",N91&lt;&gt;"Sí",O91&lt;&gt;"Sí"),"Pendiente","Cerrado"),IF(D91="Batería","Cerrado","Revisar"))))</f>
        <v/>
      </c>
      <c r="S91" s="25">
        <f>IF(A91="","",IF(B91="","Falta la sesión",IF(C91="","Falta el soporte",IF(D91="","Soporte no encontrado",IF(COUNTIFS(tblControl[ID del soporte],C91,tblControl[Estado del control],"Abierto")&gt;1,"Soporte asignado más de una vez",IF(F91="","Falta la fecha de salida",IF(AND(I91&lt;&gt;"",I91&lt;F91),"La devolución es anterior a la salida",IF(AND(D91="Batería",G91=""),"Falta la carga de salida",IF(AND(D91="Batería",G91&lt;Resumen!$C$3),"Carga de salida inferior al mínimo",IF(AND(D91="Tarjeta",H91=""),"Falta el espacio libre de salida",IF(AND(D91="Tarjeta",I91&lt;&gt;"",L91&lt;&gt;"Sí"),"Descarga pendiente",IF(AND(D91="Tarjeta",L91="Sí",N91&lt;&gt;"Sí"),"Verificación pendiente",IF(AND(D91="Tarjeta",N91="Sí",O91&lt;&gt;"Sí"),"Borrado pendiente",IF(Q91&lt;&gt;"","Revisar incidencia","Correcto"))))))))))))))</f>
        <v/>
      </c>
      <c r="T91" s="20" t="n"/>
    </row>
    <row r="92" ht="22" customHeight="1">
      <c r="A92" s="20" t="n"/>
      <c r="B92" s="20" t="n"/>
      <c r="C92" s="20" t="n"/>
      <c r="D92" s="23">
        <f>IF(C92="","",IFERROR(_xlfn.XLOOKUP(C92,tblInventario[ID del soporte],tblInventario[Tipo],""),""))</f>
        <v/>
      </c>
      <c r="E92" s="20" t="n"/>
      <c r="F92" s="22" t="n"/>
      <c r="G92" s="20" t="n"/>
      <c r="H92" s="21" t="n"/>
      <c r="I92" s="22" t="n"/>
      <c r="J92" s="20" t="n"/>
      <c r="K92" s="21" t="n"/>
      <c r="L92" s="20" t="n"/>
      <c r="M92" s="22" t="n"/>
      <c r="N92" s="20" t="n"/>
      <c r="O92" s="20" t="n"/>
      <c r="P92" s="22" t="n"/>
      <c r="Q92" s="26" t="n"/>
      <c r="R92" s="23">
        <f>IF(A92="","",IF(I92="","Abierto",IF(D92="Tarjeta",IF(OR(L92&lt;&gt;"Sí",N92&lt;&gt;"Sí",O92&lt;&gt;"Sí"),"Pendiente","Cerrado"),IF(D92="Batería","Cerrado","Revisar"))))</f>
        <v/>
      </c>
      <c r="S92" s="25">
        <f>IF(A92="","",IF(B92="","Falta la sesión",IF(C92="","Falta el soporte",IF(D92="","Soporte no encontrado",IF(COUNTIFS(tblControl[ID del soporte],C92,tblControl[Estado del control],"Abierto")&gt;1,"Soporte asignado más de una vez",IF(F92="","Falta la fecha de salida",IF(AND(I92&lt;&gt;"",I92&lt;F92),"La devolución es anterior a la salida",IF(AND(D92="Batería",G92=""),"Falta la carga de salida",IF(AND(D92="Batería",G92&lt;Resumen!$C$3),"Carga de salida inferior al mínimo",IF(AND(D92="Tarjeta",H92=""),"Falta el espacio libre de salida",IF(AND(D92="Tarjeta",I92&lt;&gt;"",L92&lt;&gt;"Sí"),"Descarga pendiente",IF(AND(D92="Tarjeta",L92="Sí",N92&lt;&gt;"Sí"),"Verificación pendiente",IF(AND(D92="Tarjeta",N92="Sí",O92&lt;&gt;"Sí"),"Borrado pendiente",IF(Q92&lt;&gt;"","Revisar incidencia","Correcto"))))))))))))))</f>
        <v/>
      </c>
      <c r="T92" s="20" t="n"/>
    </row>
    <row r="93" ht="22" customHeight="1">
      <c r="A93" s="20" t="n"/>
      <c r="B93" s="20" t="n"/>
      <c r="C93" s="20" t="n"/>
      <c r="D93" s="23">
        <f>IF(C93="","",IFERROR(_xlfn.XLOOKUP(C93,tblInventario[ID del soporte],tblInventario[Tipo],""),""))</f>
        <v/>
      </c>
      <c r="E93" s="20" t="n"/>
      <c r="F93" s="22" t="n"/>
      <c r="G93" s="20" t="n"/>
      <c r="H93" s="21" t="n"/>
      <c r="I93" s="22" t="n"/>
      <c r="J93" s="20" t="n"/>
      <c r="K93" s="21" t="n"/>
      <c r="L93" s="20" t="n"/>
      <c r="M93" s="22" t="n"/>
      <c r="N93" s="20" t="n"/>
      <c r="O93" s="20" t="n"/>
      <c r="P93" s="22" t="n"/>
      <c r="Q93" s="26" t="n"/>
      <c r="R93" s="23">
        <f>IF(A93="","",IF(I93="","Abierto",IF(D93="Tarjeta",IF(OR(L93&lt;&gt;"Sí",N93&lt;&gt;"Sí",O93&lt;&gt;"Sí"),"Pendiente","Cerrado"),IF(D93="Batería","Cerrado","Revisar"))))</f>
        <v/>
      </c>
      <c r="S93" s="25">
        <f>IF(A93="","",IF(B93="","Falta la sesión",IF(C93="","Falta el soporte",IF(D93="","Soporte no encontrado",IF(COUNTIFS(tblControl[ID del soporte],C93,tblControl[Estado del control],"Abierto")&gt;1,"Soporte asignado más de una vez",IF(F93="","Falta la fecha de salida",IF(AND(I93&lt;&gt;"",I93&lt;F93),"La devolución es anterior a la salida",IF(AND(D93="Batería",G93=""),"Falta la carga de salida",IF(AND(D93="Batería",G93&lt;Resumen!$C$3),"Carga de salida inferior al mínimo",IF(AND(D93="Tarjeta",H93=""),"Falta el espacio libre de salida",IF(AND(D93="Tarjeta",I93&lt;&gt;"",L93&lt;&gt;"Sí"),"Descarga pendiente",IF(AND(D93="Tarjeta",L93="Sí",N93&lt;&gt;"Sí"),"Verificación pendiente",IF(AND(D93="Tarjeta",N93="Sí",O93&lt;&gt;"Sí"),"Borrado pendiente",IF(Q93&lt;&gt;"","Revisar incidencia","Correcto"))))))))))))))</f>
        <v/>
      </c>
      <c r="T93" s="20" t="n"/>
    </row>
    <row r="94" ht="22" customHeight="1">
      <c r="A94" s="20" t="n"/>
      <c r="B94" s="20" t="n"/>
      <c r="C94" s="20" t="n"/>
      <c r="D94" s="23">
        <f>IF(C94="","",IFERROR(_xlfn.XLOOKUP(C94,tblInventario[ID del soporte],tblInventario[Tipo],""),""))</f>
        <v/>
      </c>
      <c r="E94" s="20" t="n"/>
      <c r="F94" s="22" t="n"/>
      <c r="G94" s="20" t="n"/>
      <c r="H94" s="21" t="n"/>
      <c r="I94" s="22" t="n"/>
      <c r="J94" s="20" t="n"/>
      <c r="K94" s="21" t="n"/>
      <c r="L94" s="20" t="n"/>
      <c r="M94" s="22" t="n"/>
      <c r="N94" s="20" t="n"/>
      <c r="O94" s="20" t="n"/>
      <c r="P94" s="22" t="n"/>
      <c r="Q94" s="26" t="n"/>
      <c r="R94" s="23">
        <f>IF(A94="","",IF(I94="","Abierto",IF(D94="Tarjeta",IF(OR(L94&lt;&gt;"Sí",N94&lt;&gt;"Sí",O94&lt;&gt;"Sí"),"Pendiente","Cerrado"),IF(D94="Batería","Cerrado","Revisar"))))</f>
        <v/>
      </c>
      <c r="S94" s="25">
        <f>IF(A94="","",IF(B94="","Falta la sesión",IF(C94="","Falta el soporte",IF(D94="","Soporte no encontrado",IF(COUNTIFS(tblControl[ID del soporte],C94,tblControl[Estado del control],"Abierto")&gt;1,"Soporte asignado más de una vez",IF(F94="","Falta la fecha de salida",IF(AND(I94&lt;&gt;"",I94&lt;F94),"La devolución es anterior a la salida",IF(AND(D94="Batería",G94=""),"Falta la carga de salida",IF(AND(D94="Batería",G94&lt;Resumen!$C$3),"Carga de salida inferior al mínimo",IF(AND(D94="Tarjeta",H94=""),"Falta el espacio libre de salida",IF(AND(D94="Tarjeta",I94&lt;&gt;"",L94&lt;&gt;"Sí"),"Descarga pendiente",IF(AND(D94="Tarjeta",L94="Sí",N94&lt;&gt;"Sí"),"Verificación pendiente",IF(AND(D94="Tarjeta",N94="Sí",O94&lt;&gt;"Sí"),"Borrado pendiente",IF(Q94&lt;&gt;"","Revisar incidencia","Correcto"))))))))))))))</f>
        <v/>
      </c>
      <c r="T94" s="20" t="n"/>
    </row>
    <row r="95" ht="22" customHeight="1">
      <c r="A95" s="20" t="n"/>
      <c r="B95" s="20" t="n"/>
      <c r="C95" s="20" t="n"/>
      <c r="D95" s="23">
        <f>IF(C95="","",IFERROR(_xlfn.XLOOKUP(C95,tblInventario[ID del soporte],tblInventario[Tipo],""),""))</f>
        <v/>
      </c>
      <c r="E95" s="20" t="n"/>
      <c r="F95" s="22" t="n"/>
      <c r="G95" s="20" t="n"/>
      <c r="H95" s="21" t="n"/>
      <c r="I95" s="22" t="n"/>
      <c r="J95" s="20" t="n"/>
      <c r="K95" s="21" t="n"/>
      <c r="L95" s="20" t="n"/>
      <c r="M95" s="22" t="n"/>
      <c r="N95" s="20" t="n"/>
      <c r="O95" s="20" t="n"/>
      <c r="P95" s="22" t="n"/>
      <c r="Q95" s="26" t="n"/>
      <c r="R95" s="23">
        <f>IF(A95="","",IF(I95="","Abierto",IF(D95="Tarjeta",IF(OR(L95&lt;&gt;"Sí",N95&lt;&gt;"Sí",O95&lt;&gt;"Sí"),"Pendiente","Cerrado"),IF(D95="Batería","Cerrado","Revisar"))))</f>
        <v/>
      </c>
      <c r="S95" s="25">
        <f>IF(A95="","",IF(B95="","Falta la sesión",IF(C95="","Falta el soporte",IF(D95="","Soporte no encontrado",IF(COUNTIFS(tblControl[ID del soporte],C95,tblControl[Estado del control],"Abierto")&gt;1,"Soporte asignado más de una vez",IF(F95="","Falta la fecha de salida",IF(AND(I95&lt;&gt;"",I95&lt;F95),"La devolución es anterior a la salida",IF(AND(D95="Batería",G95=""),"Falta la carga de salida",IF(AND(D95="Batería",G95&lt;Resumen!$C$3),"Carga de salida inferior al mínimo",IF(AND(D95="Tarjeta",H95=""),"Falta el espacio libre de salida",IF(AND(D95="Tarjeta",I95&lt;&gt;"",L95&lt;&gt;"Sí"),"Descarga pendiente",IF(AND(D95="Tarjeta",L95="Sí",N95&lt;&gt;"Sí"),"Verificación pendiente",IF(AND(D95="Tarjeta",N95="Sí",O95&lt;&gt;"Sí"),"Borrado pendiente",IF(Q95&lt;&gt;"","Revisar incidencia","Correcto"))))))))))))))</f>
        <v/>
      </c>
      <c r="T95" s="20" t="n"/>
    </row>
    <row r="96" ht="22" customHeight="1">
      <c r="A96" s="20" t="n"/>
      <c r="B96" s="20" t="n"/>
      <c r="C96" s="20" t="n"/>
      <c r="D96" s="23">
        <f>IF(C96="","",IFERROR(_xlfn.XLOOKUP(C96,tblInventario[ID del soporte],tblInventario[Tipo],""),""))</f>
        <v/>
      </c>
      <c r="E96" s="20" t="n"/>
      <c r="F96" s="22" t="n"/>
      <c r="G96" s="20" t="n"/>
      <c r="H96" s="21" t="n"/>
      <c r="I96" s="22" t="n"/>
      <c r="J96" s="20" t="n"/>
      <c r="K96" s="21" t="n"/>
      <c r="L96" s="20" t="n"/>
      <c r="M96" s="22" t="n"/>
      <c r="N96" s="20" t="n"/>
      <c r="O96" s="20" t="n"/>
      <c r="P96" s="22" t="n"/>
      <c r="Q96" s="26" t="n"/>
      <c r="R96" s="23">
        <f>IF(A96="","",IF(I96="","Abierto",IF(D96="Tarjeta",IF(OR(L96&lt;&gt;"Sí",N96&lt;&gt;"Sí",O96&lt;&gt;"Sí"),"Pendiente","Cerrado"),IF(D96="Batería","Cerrado","Revisar"))))</f>
        <v/>
      </c>
      <c r="S96" s="25">
        <f>IF(A96="","",IF(B96="","Falta la sesión",IF(C96="","Falta el soporte",IF(D96="","Soporte no encontrado",IF(COUNTIFS(tblControl[ID del soporte],C96,tblControl[Estado del control],"Abierto")&gt;1,"Soporte asignado más de una vez",IF(F96="","Falta la fecha de salida",IF(AND(I96&lt;&gt;"",I96&lt;F96),"La devolución es anterior a la salida",IF(AND(D96="Batería",G96=""),"Falta la carga de salida",IF(AND(D96="Batería",G96&lt;Resumen!$C$3),"Carga de salida inferior al mínimo",IF(AND(D96="Tarjeta",H96=""),"Falta el espacio libre de salida",IF(AND(D96="Tarjeta",I96&lt;&gt;"",L96&lt;&gt;"Sí"),"Descarga pendiente",IF(AND(D96="Tarjeta",L96="Sí",N96&lt;&gt;"Sí"),"Verificación pendiente",IF(AND(D96="Tarjeta",N96="Sí",O96&lt;&gt;"Sí"),"Borrado pendiente",IF(Q96&lt;&gt;"","Revisar incidencia","Correcto"))))))))))))))</f>
        <v/>
      </c>
      <c r="T96" s="20" t="n"/>
    </row>
    <row r="97" ht="22" customHeight="1">
      <c r="A97" s="20" t="n"/>
      <c r="B97" s="20" t="n"/>
      <c r="C97" s="20" t="n"/>
      <c r="D97" s="23">
        <f>IF(C97="","",IFERROR(_xlfn.XLOOKUP(C97,tblInventario[ID del soporte],tblInventario[Tipo],""),""))</f>
        <v/>
      </c>
      <c r="E97" s="20" t="n"/>
      <c r="F97" s="22" t="n"/>
      <c r="G97" s="20" t="n"/>
      <c r="H97" s="21" t="n"/>
      <c r="I97" s="22" t="n"/>
      <c r="J97" s="20" t="n"/>
      <c r="K97" s="21" t="n"/>
      <c r="L97" s="20" t="n"/>
      <c r="M97" s="22" t="n"/>
      <c r="N97" s="20" t="n"/>
      <c r="O97" s="20" t="n"/>
      <c r="P97" s="22" t="n"/>
      <c r="Q97" s="26" t="n"/>
      <c r="R97" s="23">
        <f>IF(A97="","",IF(I97="","Abierto",IF(D97="Tarjeta",IF(OR(L97&lt;&gt;"Sí",N97&lt;&gt;"Sí",O97&lt;&gt;"Sí"),"Pendiente","Cerrado"),IF(D97="Batería","Cerrado","Revisar"))))</f>
        <v/>
      </c>
      <c r="S97" s="25">
        <f>IF(A97="","",IF(B97="","Falta la sesión",IF(C97="","Falta el soporte",IF(D97="","Soporte no encontrado",IF(COUNTIFS(tblControl[ID del soporte],C97,tblControl[Estado del control],"Abierto")&gt;1,"Soporte asignado más de una vez",IF(F97="","Falta la fecha de salida",IF(AND(I97&lt;&gt;"",I97&lt;F97),"La devolución es anterior a la salida",IF(AND(D97="Batería",G97=""),"Falta la carga de salida",IF(AND(D97="Batería",G97&lt;Resumen!$C$3),"Carga de salida inferior al mínimo",IF(AND(D97="Tarjeta",H97=""),"Falta el espacio libre de salida",IF(AND(D97="Tarjeta",I97&lt;&gt;"",L97&lt;&gt;"Sí"),"Descarga pendiente",IF(AND(D97="Tarjeta",L97="Sí",N97&lt;&gt;"Sí"),"Verificación pendiente",IF(AND(D97="Tarjeta",N97="Sí",O97&lt;&gt;"Sí"),"Borrado pendiente",IF(Q97&lt;&gt;"","Revisar incidencia","Correcto"))))))))))))))</f>
        <v/>
      </c>
      <c r="T97" s="20" t="n"/>
    </row>
    <row r="98" ht="22" customHeight="1">
      <c r="A98" s="20" t="n"/>
      <c r="B98" s="20" t="n"/>
      <c r="C98" s="20" t="n"/>
      <c r="D98" s="23">
        <f>IF(C98="","",IFERROR(_xlfn.XLOOKUP(C98,tblInventario[ID del soporte],tblInventario[Tipo],""),""))</f>
        <v/>
      </c>
      <c r="E98" s="20" t="n"/>
      <c r="F98" s="22" t="n"/>
      <c r="G98" s="20" t="n"/>
      <c r="H98" s="21" t="n"/>
      <c r="I98" s="22" t="n"/>
      <c r="J98" s="20" t="n"/>
      <c r="K98" s="21" t="n"/>
      <c r="L98" s="20" t="n"/>
      <c r="M98" s="22" t="n"/>
      <c r="N98" s="20" t="n"/>
      <c r="O98" s="20" t="n"/>
      <c r="P98" s="22" t="n"/>
      <c r="Q98" s="26" t="n"/>
      <c r="R98" s="23">
        <f>IF(A98="","",IF(I98="","Abierto",IF(D98="Tarjeta",IF(OR(L98&lt;&gt;"Sí",N98&lt;&gt;"Sí",O98&lt;&gt;"Sí"),"Pendiente","Cerrado"),IF(D98="Batería","Cerrado","Revisar"))))</f>
        <v/>
      </c>
      <c r="S98" s="25">
        <f>IF(A98="","",IF(B98="","Falta la sesión",IF(C98="","Falta el soporte",IF(D98="","Soporte no encontrado",IF(COUNTIFS(tblControl[ID del soporte],C98,tblControl[Estado del control],"Abierto")&gt;1,"Soporte asignado más de una vez",IF(F98="","Falta la fecha de salida",IF(AND(I98&lt;&gt;"",I98&lt;F98),"La devolución es anterior a la salida",IF(AND(D98="Batería",G98=""),"Falta la carga de salida",IF(AND(D98="Batería",G98&lt;Resumen!$C$3),"Carga de salida inferior al mínimo",IF(AND(D98="Tarjeta",H98=""),"Falta el espacio libre de salida",IF(AND(D98="Tarjeta",I98&lt;&gt;"",L98&lt;&gt;"Sí"),"Descarga pendiente",IF(AND(D98="Tarjeta",L98="Sí",N98&lt;&gt;"Sí"),"Verificación pendiente",IF(AND(D98="Tarjeta",N98="Sí",O98&lt;&gt;"Sí"),"Borrado pendiente",IF(Q98&lt;&gt;"","Revisar incidencia","Correcto"))))))))))))))</f>
        <v/>
      </c>
      <c r="T98" s="20" t="n"/>
    </row>
    <row r="99" ht="22" customHeight="1">
      <c r="A99" s="20" t="n"/>
      <c r="B99" s="20" t="n"/>
      <c r="C99" s="20" t="n"/>
      <c r="D99" s="23">
        <f>IF(C99="","",IFERROR(_xlfn.XLOOKUP(C99,tblInventario[ID del soporte],tblInventario[Tipo],""),""))</f>
        <v/>
      </c>
      <c r="E99" s="20" t="n"/>
      <c r="F99" s="22" t="n"/>
      <c r="G99" s="20" t="n"/>
      <c r="H99" s="21" t="n"/>
      <c r="I99" s="22" t="n"/>
      <c r="J99" s="20" t="n"/>
      <c r="K99" s="21" t="n"/>
      <c r="L99" s="20" t="n"/>
      <c r="M99" s="22" t="n"/>
      <c r="N99" s="20" t="n"/>
      <c r="O99" s="20" t="n"/>
      <c r="P99" s="22" t="n"/>
      <c r="Q99" s="26" t="n"/>
      <c r="R99" s="23">
        <f>IF(A99="","",IF(I99="","Abierto",IF(D99="Tarjeta",IF(OR(L99&lt;&gt;"Sí",N99&lt;&gt;"Sí",O99&lt;&gt;"Sí"),"Pendiente","Cerrado"),IF(D99="Batería","Cerrado","Revisar"))))</f>
        <v/>
      </c>
      <c r="S99" s="25">
        <f>IF(A99="","",IF(B99="","Falta la sesión",IF(C99="","Falta el soporte",IF(D99="","Soporte no encontrado",IF(COUNTIFS(tblControl[ID del soporte],C99,tblControl[Estado del control],"Abierto")&gt;1,"Soporte asignado más de una vez",IF(F99="","Falta la fecha de salida",IF(AND(I99&lt;&gt;"",I99&lt;F99),"La devolución es anterior a la salida",IF(AND(D99="Batería",G99=""),"Falta la carga de salida",IF(AND(D99="Batería",G99&lt;Resumen!$C$3),"Carga de salida inferior al mínimo",IF(AND(D99="Tarjeta",H99=""),"Falta el espacio libre de salida",IF(AND(D99="Tarjeta",I99&lt;&gt;"",L99&lt;&gt;"Sí"),"Descarga pendiente",IF(AND(D99="Tarjeta",L99="Sí",N99&lt;&gt;"Sí"),"Verificación pendiente",IF(AND(D99="Tarjeta",N99="Sí",O99&lt;&gt;"Sí"),"Borrado pendiente",IF(Q99&lt;&gt;"","Revisar incidencia","Correcto"))))))))))))))</f>
        <v/>
      </c>
      <c r="T99" s="20" t="n"/>
    </row>
    <row r="100" ht="22" customHeight="1">
      <c r="A100" s="20" t="n"/>
      <c r="B100" s="20" t="n"/>
      <c r="C100" s="20" t="n"/>
      <c r="D100" s="23">
        <f>IF(C100="","",IFERROR(_xlfn.XLOOKUP(C100,tblInventario[ID del soporte],tblInventario[Tipo],""),""))</f>
        <v/>
      </c>
      <c r="E100" s="20" t="n"/>
      <c r="F100" s="22" t="n"/>
      <c r="G100" s="20" t="n"/>
      <c r="H100" s="21" t="n"/>
      <c r="I100" s="22" t="n"/>
      <c r="J100" s="20" t="n"/>
      <c r="K100" s="21" t="n"/>
      <c r="L100" s="20" t="n"/>
      <c r="M100" s="22" t="n"/>
      <c r="N100" s="20" t="n"/>
      <c r="O100" s="20" t="n"/>
      <c r="P100" s="22" t="n"/>
      <c r="Q100" s="26" t="n"/>
      <c r="R100" s="23">
        <f>IF(A100="","",IF(I100="","Abierto",IF(D100="Tarjeta",IF(OR(L100&lt;&gt;"Sí",N100&lt;&gt;"Sí",O100&lt;&gt;"Sí"),"Pendiente","Cerrado"),IF(D100="Batería","Cerrado","Revisar"))))</f>
        <v/>
      </c>
      <c r="S100" s="25">
        <f>IF(A100="","",IF(B100="","Falta la sesión",IF(C100="","Falta el soporte",IF(D100="","Soporte no encontrado",IF(COUNTIFS(tblControl[ID del soporte],C100,tblControl[Estado del control],"Abierto")&gt;1,"Soporte asignado más de una vez",IF(F100="","Falta la fecha de salida",IF(AND(I100&lt;&gt;"",I100&lt;F100),"La devolución es anterior a la salida",IF(AND(D100="Batería",G100=""),"Falta la carga de salida",IF(AND(D100="Batería",G100&lt;Resumen!$C$3),"Carga de salida inferior al mínimo",IF(AND(D100="Tarjeta",H100=""),"Falta el espacio libre de salida",IF(AND(D100="Tarjeta",I100&lt;&gt;"",L100&lt;&gt;"Sí"),"Descarga pendiente",IF(AND(D100="Tarjeta",L100="Sí",N100&lt;&gt;"Sí"),"Verificación pendiente",IF(AND(D100="Tarjeta",N100="Sí",O100&lt;&gt;"Sí"),"Borrado pendiente",IF(Q100&lt;&gt;"","Revisar incidencia","Correcto"))))))))))))))</f>
        <v/>
      </c>
      <c r="T100" s="20" t="n"/>
    </row>
    <row r="101" ht="22" customHeight="1">
      <c r="A101" s="20" t="n"/>
      <c r="B101" s="20" t="n"/>
      <c r="C101" s="20" t="n"/>
      <c r="D101" s="23">
        <f>IF(C101="","",IFERROR(_xlfn.XLOOKUP(C101,tblInventario[ID del soporte],tblInventario[Tipo],""),""))</f>
        <v/>
      </c>
      <c r="E101" s="20" t="n"/>
      <c r="F101" s="22" t="n"/>
      <c r="G101" s="20" t="n"/>
      <c r="H101" s="21" t="n"/>
      <c r="I101" s="22" t="n"/>
      <c r="J101" s="20" t="n"/>
      <c r="K101" s="21" t="n"/>
      <c r="L101" s="20" t="n"/>
      <c r="M101" s="22" t="n"/>
      <c r="N101" s="20" t="n"/>
      <c r="O101" s="20" t="n"/>
      <c r="P101" s="22" t="n"/>
      <c r="Q101" s="26" t="n"/>
      <c r="R101" s="23">
        <f>IF(A101="","",IF(I101="","Abierto",IF(D101="Tarjeta",IF(OR(L101&lt;&gt;"Sí",N101&lt;&gt;"Sí",O101&lt;&gt;"Sí"),"Pendiente","Cerrado"),IF(D101="Batería","Cerrado","Revisar"))))</f>
        <v/>
      </c>
      <c r="S101" s="25">
        <f>IF(A101="","",IF(B101="","Falta la sesión",IF(C101="","Falta el soporte",IF(D101="","Soporte no encontrado",IF(COUNTIFS(tblControl[ID del soporte],C101,tblControl[Estado del control],"Abierto")&gt;1,"Soporte asignado más de una vez",IF(F101="","Falta la fecha de salida",IF(AND(I101&lt;&gt;"",I101&lt;F101),"La devolución es anterior a la salida",IF(AND(D101="Batería",G101=""),"Falta la carga de salida",IF(AND(D101="Batería",G101&lt;Resumen!$C$3),"Carga de salida inferior al mínimo",IF(AND(D101="Tarjeta",H101=""),"Falta el espacio libre de salida",IF(AND(D101="Tarjeta",I101&lt;&gt;"",L101&lt;&gt;"Sí"),"Descarga pendiente",IF(AND(D101="Tarjeta",L101="Sí",N101&lt;&gt;"Sí"),"Verificación pendiente",IF(AND(D101="Tarjeta",N101="Sí",O101&lt;&gt;"Sí"),"Borrado pendiente",IF(Q101&lt;&gt;"","Revisar incidencia","Correcto"))))))))))))))</f>
        <v/>
      </c>
      <c r="T101" s="20" t="n"/>
    </row>
    <row r="102" ht="22" customHeight="1">
      <c r="A102" s="20" t="n"/>
      <c r="B102" s="20" t="n"/>
      <c r="C102" s="20" t="n"/>
      <c r="D102" s="23">
        <f>IF(C102="","",IFERROR(_xlfn.XLOOKUP(C102,tblInventario[ID del soporte],tblInventario[Tipo],""),""))</f>
        <v/>
      </c>
      <c r="E102" s="20" t="n"/>
      <c r="F102" s="22" t="n"/>
      <c r="G102" s="20" t="n"/>
      <c r="H102" s="21" t="n"/>
      <c r="I102" s="22" t="n"/>
      <c r="J102" s="20" t="n"/>
      <c r="K102" s="21" t="n"/>
      <c r="L102" s="20" t="n"/>
      <c r="M102" s="22" t="n"/>
      <c r="N102" s="20" t="n"/>
      <c r="O102" s="20" t="n"/>
      <c r="P102" s="22" t="n"/>
      <c r="Q102" s="26" t="n"/>
      <c r="R102" s="23">
        <f>IF(A102="","",IF(I102="","Abierto",IF(D102="Tarjeta",IF(OR(L102&lt;&gt;"Sí",N102&lt;&gt;"Sí",O102&lt;&gt;"Sí"),"Pendiente","Cerrado"),IF(D102="Batería","Cerrado","Revisar"))))</f>
        <v/>
      </c>
      <c r="S102" s="25">
        <f>IF(A102="","",IF(B102="","Falta la sesión",IF(C102="","Falta el soporte",IF(D102="","Soporte no encontrado",IF(COUNTIFS(tblControl[ID del soporte],C102,tblControl[Estado del control],"Abierto")&gt;1,"Soporte asignado más de una vez",IF(F102="","Falta la fecha de salida",IF(AND(I102&lt;&gt;"",I102&lt;F102),"La devolución es anterior a la salida",IF(AND(D102="Batería",G102=""),"Falta la carga de salida",IF(AND(D102="Batería",G102&lt;Resumen!$C$3),"Carga de salida inferior al mínimo",IF(AND(D102="Tarjeta",H102=""),"Falta el espacio libre de salida",IF(AND(D102="Tarjeta",I102&lt;&gt;"",L102&lt;&gt;"Sí"),"Descarga pendiente",IF(AND(D102="Tarjeta",L102="Sí",N102&lt;&gt;"Sí"),"Verificación pendiente",IF(AND(D102="Tarjeta",N102="Sí",O102&lt;&gt;"Sí"),"Borrado pendiente",IF(Q102&lt;&gt;"","Revisar incidencia","Correcto"))))))))))))))</f>
        <v/>
      </c>
      <c r="T102" s="20" t="n"/>
    </row>
    <row r="103" ht="22" customHeight="1">
      <c r="A103" s="20" t="n"/>
      <c r="B103" s="20" t="n"/>
      <c r="C103" s="20" t="n"/>
      <c r="D103" s="23">
        <f>IF(C103="","",IFERROR(_xlfn.XLOOKUP(C103,tblInventario[ID del soporte],tblInventario[Tipo],""),""))</f>
        <v/>
      </c>
      <c r="E103" s="20" t="n"/>
      <c r="F103" s="22" t="n"/>
      <c r="G103" s="20" t="n"/>
      <c r="H103" s="21" t="n"/>
      <c r="I103" s="22" t="n"/>
      <c r="J103" s="20" t="n"/>
      <c r="K103" s="21" t="n"/>
      <c r="L103" s="20" t="n"/>
      <c r="M103" s="22" t="n"/>
      <c r="N103" s="20" t="n"/>
      <c r="O103" s="20" t="n"/>
      <c r="P103" s="22" t="n"/>
      <c r="Q103" s="26" t="n"/>
      <c r="R103" s="23">
        <f>IF(A103="","",IF(I103="","Abierto",IF(D103="Tarjeta",IF(OR(L103&lt;&gt;"Sí",N103&lt;&gt;"Sí",O103&lt;&gt;"Sí"),"Pendiente","Cerrado"),IF(D103="Batería","Cerrado","Revisar"))))</f>
        <v/>
      </c>
      <c r="S103" s="25">
        <f>IF(A103="","",IF(B103="","Falta la sesión",IF(C103="","Falta el soporte",IF(D103="","Soporte no encontrado",IF(COUNTIFS(tblControl[ID del soporte],C103,tblControl[Estado del control],"Abierto")&gt;1,"Soporte asignado más de una vez",IF(F103="","Falta la fecha de salida",IF(AND(I103&lt;&gt;"",I103&lt;F103),"La devolución es anterior a la salida",IF(AND(D103="Batería",G103=""),"Falta la carga de salida",IF(AND(D103="Batería",G103&lt;Resumen!$C$3),"Carga de salida inferior al mínimo",IF(AND(D103="Tarjeta",H103=""),"Falta el espacio libre de salida",IF(AND(D103="Tarjeta",I103&lt;&gt;"",L103&lt;&gt;"Sí"),"Descarga pendiente",IF(AND(D103="Tarjeta",L103="Sí",N103&lt;&gt;"Sí"),"Verificación pendiente",IF(AND(D103="Tarjeta",N103="Sí",O103&lt;&gt;"Sí"),"Borrado pendiente",IF(Q103&lt;&gt;"","Revisar incidencia","Correcto"))))))))))))))</f>
        <v/>
      </c>
      <c r="T103" s="20" t="n"/>
    </row>
    <row r="104" ht="22" customHeight="1">
      <c r="A104" s="20" t="n"/>
      <c r="B104" s="20" t="n"/>
      <c r="C104" s="20" t="n"/>
      <c r="D104" s="23">
        <f>IF(C104="","",IFERROR(_xlfn.XLOOKUP(C104,tblInventario[ID del soporte],tblInventario[Tipo],""),""))</f>
        <v/>
      </c>
      <c r="E104" s="20" t="n"/>
      <c r="F104" s="22" t="n"/>
      <c r="G104" s="20" t="n"/>
      <c r="H104" s="21" t="n"/>
      <c r="I104" s="22" t="n"/>
      <c r="J104" s="20" t="n"/>
      <c r="K104" s="21" t="n"/>
      <c r="L104" s="20" t="n"/>
      <c r="M104" s="22" t="n"/>
      <c r="N104" s="20" t="n"/>
      <c r="O104" s="20" t="n"/>
      <c r="P104" s="22" t="n"/>
      <c r="Q104" s="26" t="n"/>
      <c r="R104" s="23">
        <f>IF(A104="","",IF(I104="","Abierto",IF(D104="Tarjeta",IF(OR(L104&lt;&gt;"Sí",N104&lt;&gt;"Sí",O104&lt;&gt;"Sí"),"Pendiente","Cerrado"),IF(D104="Batería","Cerrado","Revisar"))))</f>
        <v/>
      </c>
      <c r="S104" s="25">
        <f>IF(A104="","",IF(B104="","Falta la sesión",IF(C104="","Falta el soporte",IF(D104="","Soporte no encontrado",IF(COUNTIFS(tblControl[ID del soporte],C104,tblControl[Estado del control],"Abierto")&gt;1,"Soporte asignado más de una vez",IF(F104="","Falta la fecha de salida",IF(AND(I104&lt;&gt;"",I104&lt;F104),"La devolución es anterior a la salida",IF(AND(D104="Batería",G104=""),"Falta la carga de salida",IF(AND(D104="Batería",G104&lt;Resumen!$C$3),"Carga de salida inferior al mínimo",IF(AND(D104="Tarjeta",H104=""),"Falta el espacio libre de salida",IF(AND(D104="Tarjeta",I104&lt;&gt;"",L104&lt;&gt;"Sí"),"Descarga pendiente",IF(AND(D104="Tarjeta",L104="Sí",N104&lt;&gt;"Sí"),"Verificación pendiente",IF(AND(D104="Tarjeta",N104="Sí",O104&lt;&gt;"Sí"),"Borrado pendiente",IF(Q104&lt;&gt;"","Revisar incidencia","Correcto"))))))))))))))</f>
        <v/>
      </c>
      <c r="T104" s="20" t="n"/>
    </row>
    <row r="105" ht="22" customHeight="1">
      <c r="A105" s="20" t="n"/>
      <c r="B105" s="20" t="n"/>
      <c r="C105" s="20" t="n"/>
      <c r="D105" s="23">
        <f>IF(C105="","",IFERROR(_xlfn.XLOOKUP(C105,tblInventario[ID del soporte],tblInventario[Tipo],""),""))</f>
        <v/>
      </c>
      <c r="E105" s="20" t="n"/>
      <c r="F105" s="22" t="n"/>
      <c r="G105" s="20" t="n"/>
      <c r="H105" s="21" t="n"/>
      <c r="I105" s="22" t="n"/>
      <c r="J105" s="20" t="n"/>
      <c r="K105" s="21" t="n"/>
      <c r="L105" s="20" t="n"/>
      <c r="M105" s="22" t="n"/>
      <c r="N105" s="20" t="n"/>
      <c r="O105" s="20" t="n"/>
      <c r="P105" s="22" t="n"/>
      <c r="Q105" s="26" t="n"/>
      <c r="R105" s="23">
        <f>IF(A105="","",IF(I105="","Abierto",IF(D105="Tarjeta",IF(OR(L105&lt;&gt;"Sí",N105&lt;&gt;"Sí",O105&lt;&gt;"Sí"),"Pendiente","Cerrado"),IF(D105="Batería","Cerrado","Revisar"))))</f>
        <v/>
      </c>
      <c r="S105" s="25">
        <f>IF(A105="","",IF(B105="","Falta la sesión",IF(C105="","Falta el soporte",IF(D105="","Soporte no encontrado",IF(COUNTIFS(tblControl[ID del soporte],C105,tblControl[Estado del control],"Abierto")&gt;1,"Soporte asignado más de una vez",IF(F105="","Falta la fecha de salida",IF(AND(I105&lt;&gt;"",I105&lt;F105),"La devolución es anterior a la salida",IF(AND(D105="Batería",G105=""),"Falta la carga de salida",IF(AND(D105="Batería",G105&lt;Resumen!$C$3),"Carga de salida inferior al mínimo",IF(AND(D105="Tarjeta",H105=""),"Falta el espacio libre de salida",IF(AND(D105="Tarjeta",I105&lt;&gt;"",L105&lt;&gt;"Sí"),"Descarga pendiente",IF(AND(D105="Tarjeta",L105="Sí",N105&lt;&gt;"Sí"),"Verificación pendiente",IF(AND(D105="Tarjeta",N105="Sí",O105&lt;&gt;"Sí"),"Borrado pendiente",IF(Q105&lt;&gt;"","Revisar incidencia","Correcto"))))))))))))))</f>
        <v/>
      </c>
      <c r="T105" s="20" t="n"/>
    </row>
    <row r="106" ht="22" customHeight="1">
      <c r="A106" s="20" t="n"/>
      <c r="B106" s="20" t="n"/>
      <c r="C106" s="20" t="n"/>
      <c r="D106" s="23">
        <f>IF(C106="","",IFERROR(_xlfn.XLOOKUP(C106,tblInventario[ID del soporte],tblInventario[Tipo],""),""))</f>
        <v/>
      </c>
      <c r="E106" s="20" t="n"/>
      <c r="F106" s="22" t="n"/>
      <c r="G106" s="20" t="n"/>
      <c r="H106" s="21" t="n"/>
      <c r="I106" s="22" t="n"/>
      <c r="J106" s="20" t="n"/>
      <c r="K106" s="21" t="n"/>
      <c r="L106" s="20" t="n"/>
      <c r="M106" s="22" t="n"/>
      <c r="N106" s="20" t="n"/>
      <c r="O106" s="20" t="n"/>
      <c r="P106" s="22" t="n"/>
      <c r="Q106" s="26" t="n"/>
      <c r="R106" s="23">
        <f>IF(A106="","",IF(I106="","Abierto",IF(D106="Tarjeta",IF(OR(L106&lt;&gt;"Sí",N106&lt;&gt;"Sí",O106&lt;&gt;"Sí"),"Pendiente","Cerrado"),IF(D106="Batería","Cerrado","Revisar"))))</f>
        <v/>
      </c>
      <c r="S106" s="25">
        <f>IF(A106="","",IF(B106="","Falta la sesión",IF(C106="","Falta el soporte",IF(D106="","Soporte no encontrado",IF(COUNTIFS(tblControl[ID del soporte],C106,tblControl[Estado del control],"Abierto")&gt;1,"Soporte asignado más de una vez",IF(F106="","Falta la fecha de salida",IF(AND(I106&lt;&gt;"",I106&lt;F106),"La devolución es anterior a la salida",IF(AND(D106="Batería",G106=""),"Falta la carga de salida",IF(AND(D106="Batería",G106&lt;Resumen!$C$3),"Carga de salida inferior al mínimo",IF(AND(D106="Tarjeta",H106=""),"Falta el espacio libre de salida",IF(AND(D106="Tarjeta",I106&lt;&gt;"",L106&lt;&gt;"Sí"),"Descarga pendiente",IF(AND(D106="Tarjeta",L106="Sí",N106&lt;&gt;"Sí"),"Verificación pendiente",IF(AND(D106="Tarjeta",N106="Sí",O106&lt;&gt;"Sí"),"Borrado pendiente",IF(Q106&lt;&gt;"","Revisar incidencia","Correcto"))))))))))))))</f>
        <v/>
      </c>
      <c r="T106" s="20" t="n"/>
    </row>
    <row r="107" ht="22" customHeight="1">
      <c r="A107" s="20" t="n"/>
      <c r="B107" s="20" t="n"/>
      <c r="C107" s="20" t="n"/>
      <c r="D107" s="23">
        <f>IF(C107="","",IFERROR(_xlfn.XLOOKUP(C107,tblInventario[ID del soporte],tblInventario[Tipo],""),""))</f>
        <v/>
      </c>
      <c r="E107" s="20" t="n"/>
      <c r="F107" s="22" t="n"/>
      <c r="G107" s="20" t="n"/>
      <c r="H107" s="21" t="n"/>
      <c r="I107" s="22" t="n"/>
      <c r="J107" s="20" t="n"/>
      <c r="K107" s="21" t="n"/>
      <c r="L107" s="20" t="n"/>
      <c r="M107" s="22" t="n"/>
      <c r="N107" s="20" t="n"/>
      <c r="O107" s="20" t="n"/>
      <c r="P107" s="22" t="n"/>
      <c r="Q107" s="26" t="n"/>
      <c r="R107" s="23">
        <f>IF(A107="","",IF(I107="","Abierto",IF(D107="Tarjeta",IF(OR(L107&lt;&gt;"Sí",N107&lt;&gt;"Sí",O107&lt;&gt;"Sí"),"Pendiente","Cerrado"),IF(D107="Batería","Cerrado","Revisar"))))</f>
        <v/>
      </c>
      <c r="S107" s="25">
        <f>IF(A107="","",IF(B107="","Falta la sesión",IF(C107="","Falta el soporte",IF(D107="","Soporte no encontrado",IF(COUNTIFS(tblControl[ID del soporte],C107,tblControl[Estado del control],"Abierto")&gt;1,"Soporte asignado más de una vez",IF(F107="","Falta la fecha de salida",IF(AND(I107&lt;&gt;"",I107&lt;F107),"La devolución es anterior a la salida",IF(AND(D107="Batería",G107=""),"Falta la carga de salida",IF(AND(D107="Batería",G107&lt;Resumen!$C$3),"Carga de salida inferior al mínimo",IF(AND(D107="Tarjeta",H107=""),"Falta el espacio libre de salida",IF(AND(D107="Tarjeta",I107&lt;&gt;"",L107&lt;&gt;"Sí"),"Descarga pendiente",IF(AND(D107="Tarjeta",L107="Sí",N107&lt;&gt;"Sí"),"Verificación pendiente",IF(AND(D107="Tarjeta",N107="Sí",O107&lt;&gt;"Sí"),"Borrado pendiente",IF(Q107&lt;&gt;"","Revisar incidencia","Correcto"))))))))))))))</f>
        <v/>
      </c>
      <c r="T107" s="20" t="n"/>
    </row>
    <row r="108" ht="22" customHeight="1">
      <c r="A108" s="20" t="n"/>
      <c r="B108" s="20" t="n"/>
      <c r="C108" s="20" t="n"/>
      <c r="D108" s="23">
        <f>IF(C108="","",IFERROR(_xlfn.XLOOKUP(C108,tblInventario[ID del soporte],tblInventario[Tipo],""),""))</f>
        <v/>
      </c>
      <c r="E108" s="20" t="n"/>
      <c r="F108" s="22" t="n"/>
      <c r="G108" s="20" t="n"/>
      <c r="H108" s="21" t="n"/>
      <c r="I108" s="22" t="n"/>
      <c r="J108" s="20" t="n"/>
      <c r="K108" s="21" t="n"/>
      <c r="L108" s="20" t="n"/>
      <c r="M108" s="22" t="n"/>
      <c r="N108" s="20" t="n"/>
      <c r="O108" s="20" t="n"/>
      <c r="P108" s="22" t="n"/>
      <c r="Q108" s="26" t="n"/>
      <c r="R108" s="23">
        <f>IF(A108="","",IF(I108="","Abierto",IF(D108="Tarjeta",IF(OR(L108&lt;&gt;"Sí",N108&lt;&gt;"Sí",O108&lt;&gt;"Sí"),"Pendiente","Cerrado"),IF(D108="Batería","Cerrado","Revisar"))))</f>
        <v/>
      </c>
      <c r="S108" s="25">
        <f>IF(A108="","",IF(B108="","Falta la sesión",IF(C108="","Falta el soporte",IF(D108="","Soporte no encontrado",IF(COUNTIFS(tblControl[ID del soporte],C108,tblControl[Estado del control],"Abierto")&gt;1,"Soporte asignado más de una vez",IF(F108="","Falta la fecha de salida",IF(AND(I108&lt;&gt;"",I108&lt;F108),"La devolución es anterior a la salida",IF(AND(D108="Batería",G108=""),"Falta la carga de salida",IF(AND(D108="Batería",G108&lt;Resumen!$C$3),"Carga de salida inferior al mínimo",IF(AND(D108="Tarjeta",H108=""),"Falta el espacio libre de salida",IF(AND(D108="Tarjeta",I108&lt;&gt;"",L108&lt;&gt;"Sí"),"Descarga pendiente",IF(AND(D108="Tarjeta",L108="Sí",N108&lt;&gt;"Sí"),"Verificación pendiente",IF(AND(D108="Tarjeta",N108="Sí",O108&lt;&gt;"Sí"),"Borrado pendiente",IF(Q108&lt;&gt;"","Revisar incidencia","Correcto"))))))))))))))</f>
        <v/>
      </c>
      <c r="T108" s="20" t="n"/>
    </row>
    <row r="109" ht="22" customHeight="1">
      <c r="A109" s="20" t="n"/>
      <c r="B109" s="20" t="n"/>
      <c r="C109" s="20" t="n"/>
      <c r="D109" s="23">
        <f>IF(C109="","",IFERROR(_xlfn.XLOOKUP(C109,tblInventario[ID del soporte],tblInventario[Tipo],""),""))</f>
        <v/>
      </c>
      <c r="E109" s="20" t="n"/>
      <c r="F109" s="22" t="n"/>
      <c r="G109" s="20" t="n"/>
      <c r="H109" s="21" t="n"/>
      <c r="I109" s="22" t="n"/>
      <c r="J109" s="20" t="n"/>
      <c r="K109" s="21" t="n"/>
      <c r="L109" s="20" t="n"/>
      <c r="M109" s="22" t="n"/>
      <c r="N109" s="20" t="n"/>
      <c r="O109" s="20" t="n"/>
      <c r="P109" s="22" t="n"/>
      <c r="Q109" s="26" t="n"/>
      <c r="R109" s="23">
        <f>IF(A109="","",IF(I109="","Abierto",IF(D109="Tarjeta",IF(OR(L109&lt;&gt;"Sí",N109&lt;&gt;"Sí",O109&lt;&gt;"Sí"),"Pendiente","Cerrado"),IF(D109="Batería","Cerrado","Revisar"))))</f>
        <v/>
      </c>
      <c r="S109" s="25">
        <f>IF(A109="","",IF(B109="","Falta la sesión",IF(C109="","Falta el soporte",IF(D109="","Soporte no encontrado",IF(COUNTIFS(tblControl[ID del soporte],C109,tblControl[Estado del control],"Abierto")&gt;1,"Soporte asignado más de una vez",IF(F109="","Falta la fecha de salida",IF(AND(I109&lt;&gt;"",I109&lt;F109),"La devolución es anterior a la salida",IF(AND(D109="Batería",G109=""),"Falta la carga de salida",IF(AND(D109="Batería",G109&lt;Resumen!$C$3),"Carga de salida inferior al mínimo",IF(AND(D109="Tarjeta",H109=""),"Falta el espacio libre de salida",IF(AND(D109="Tarjeta",I109&lt;&gt;"",L109&lt;&gt;"Sí"),"Descarga pendiente",IF(AND(D109="Tarjeta",L109="Sí",N109&lt;&gt;"Sí"),"Verificación pendiente",IF(AND(D109="Tarjeta",N109="Sí",O109&lt;&gt;"Sí"),"Borrado pendiente",IF(Q109&lt;&gt;"","Revisar incidencia","Correcto"))))))))))))))</f>
        <v/>
      </c>
      <c r="T109" s="20" t="n"/>
    </row>
    <row r="110" ht="22" customHeight="1">
      <c r="A110" s="20" t="n"/>
      <c r="B110" s="20" t="n"/>
      <c r="C110" s="20" t="n"/>
      <c r="D110" s="23">
        <f>IF(C110="","",IFERROR(_xlfn.XLOOKUP(C110,tblInventario[ID del soporte],tblInventario[Tipo],""),""))</f>
        <v/>
      </c>
      <c r="E110" s="20" t="n"/>
      <c r="F110" s="22" t="n"/>
      <c r="G110" s="20" t="n"/>
      <c r="H110" s="21" t="n"/>
      <c r="I110" s="22" t="n"/>
      <c r="J110" s="20" t="n"/>
      <c r="K110" s="21" t="n"/>
      <c r="L110" s="20" t="n"/>
      <c r="M110" s="22" t="n"/>
      <c r="N110" s="20" t="n"/>
      <c r="O110" s="20" t="n"/>
      <c r="P110" s="22" t="n"/>
      <c r="Q110" s="26" t="n"/>
      <c r="R110" s="23">
        <f>IF(A110="","",IF(I110="","Abierto",IF(D110="Tarjeta",IF(OR(L110&lt;&gt;"Sí",N110&lt;&gt;"Sí",O110&lt;&gt;"Sí"),"Pendiente","Cerrado"),IF(D110="Batería","Cerrado","Revisar"))))</f>
        <v/>
      </c>
      <c r="S110" s="25">
        <f>IF(A110="","",IF(B110="","Falta la sesión",IF(C110="","Falta el soporte",IF(D110="","Soporte no encontrado",IF(COUNTIFS(tblControl[ID del soporte],C110,tblControl[Estado del control],"Abierto")&gt;1,"Soporte asignado más de una vez",IF(F110="","Falta la fecha de salida",IF(AND(I110&lt;&gt;"",I110&lt;F110),"La devolución es anterior a la salida",IF(AND(D110="Batería",G110=""),"Falta la carga de salida",IF(AND(D110="Batería",G110&lt;Resumen!$C$3),"Carga de salida inferior al mínimo",IF(AND(D110="Tarjeta",H110=""),"Falta el espacio libre de salida",IF(AND(D110="Tarjeta",I110&lt;&gt;"",L110&lt;&gt;"Sí"),"Descarga pendiente",IF(AND(D110="Tarjeta",L110="Sí",N110&lt;&gt;"Sí"),"Verificación pendiente",IF(AND(D110="Tarjeta",N110="Sí",O110&lt;&gt;"Sí"),"Borrado pendiente",IF(Q110&lt;&gt;"","Revisar incidencia","Correcto"))))))))))))))</f>
        <v/>
      </c>
      <c r="T110" s="20" t="n"/>
    </row>
    <row r="111" ht="22" customHeight="1">
      <c r="A111" s="20" t="n"/>
      <c r="B111" s="20" t="n"/>
      <c r="C111" s="20" t="n"/>
      <c r="D111" s="23">
        <f>IF(C111="","",IFERROR(_xlfn.XLOOKUP(C111,tblInventario[ID del soporte],tblInventario[Tipo],""),""))</f>
        <v/>
      </c>
      <c r="E111" s="20" t="n"/>
      <c r="F111" s="22" t="n"/>
      <c r="G111" s="20" t="n"/>
      <c r="H111" s="21" t="n"/>
      <c r="I111" s="22" t="n"/>
      <c r="J111" s="20" t="n"/>
      <c r="K111" s="21" t="n"/>
      <c r="L111" s="20" t="n"/>
      <c r="M111" s="22" t="n"/>
      <c r="N111" s="20" t="n"/>
      <c r="O111" s="20" t="n"/>
      <c r="P111" s="22" t="n"/>
      <c r="Q111" s="26" t="n"/>
      <c r="R111" s="23">
        <f>IF(A111="","",IF(I111="","Abierto",IF(D111="Tarjeta",IF(OR(L111&lt;&gt;"Sí",N111&lt;&gt;"Sí",O111&lt;&gt;"Sí"),"Pendiente","Cerrado"),IF(D111="Batería","Cerrado","Revisar"))))</f>
        <v/>
      </c>
      <c r="S111" s="25">
        <f>IF(A111="","",IF(B111="","Falta la sesión",IF(C111="","Falta el soporte",IF(D111="","Soporte no encontrado",IF(COUNTIFS(tblControl[ID del soporte],C111,tblControl[Estado del control],"Abierto")&gt;1,"Soporte asignado más de una vez",IF(F111="","Falta la fecha de salida",IF(AND(I111&lt;&gt;"",I111&lt;F111),"La devolución es anterior a la salida",IF(AND(D111="Batería",G111=""),"Falta la carga de salida",IF(AND(D111="Batería",G111&lt;Resumen!$C$3),"Carga de salida inferior al mínimo",IF(AND(D111="Tarjeta",H111=""),"Falta el espacio libre de salida",IF(AND(D111="Tarjeta",I111&lt;&gt;"",L111&lt;&gt;"Sí"),"Descarga pendiente",IF(AND(D111="Tarjeta",L111="Sí",N111&lt;&gt;"Sí"),"Verificación pendiente",IF(AND(D111="Tarjeta",N111="Sí",O111&lt;&gt;"Sí"),"Borrado pendiente",IF(Q111&lt;&gt;"","Revisar incidencia","Correcto"))))))))))))))</f>
        <v/>
      </c>
      <c r="T111" s="20" t="n"/>
    </row>
    <row r="112" ht="22" customHeight="1">
      <c r="A112" s="20" t="n"/>
      <c r="B112" s="20" t="n"/>
      <c r="C112" s="20" t="n"/>
      <c r="D112" s="23">
        <f>IF(C112="","",IFERROR(_xlfn.XLOOKUP(C112,tblInventario[ID del soporte],tblInventario[Tipo],""),""))</f>
        <v/>
      </c>
      <c r="E112" s="20" t="n"/>
      <c r="F112" s="22" t="n"/>
      <c r="G112" s="20" t="n"/>
      <c r="H112" s="21" t="n"/>
      <c r="I112" s="22" t="n"/>
      <c r="J112" s="20" t="n"/>
      <c r="K112" s="21" t="n"/>
      <c r="L112" s="20" t="n"/>
      <c r="M112" s="22" t="n"/>
      <c r="N112" s="20" t="n"/>
      <c r="O112" s="20" t="n"/>
      <c r="P112" s="22" t="n"/>
      <c r="Q112" s="26" t="n"/>
      <c r="R112" s="23">
        <f>IF(A112="","",IF(I112="","Abierto",IF(D112="Tarjeta",IF(OR(L112&lt;&gt;"Sí",N112&lt;&gt;"Sí",O112&lt;&gt;"Sí"),"Pendiente","Cerrado"),IF(D112="Batería","Cerrado","Revisar"))))</f>
        <v/>
      </c>
      <c r="S112" s="25">
        <f>IF(A112="","",IF(B112="","Falta la sesión",IF(C112="","Falta el soporte",IF(D112="","Soporte no encontrado",IF(COUNTIFS(tblControl[ID del soporte],C112,tblControl[Estado del control],"Abierto")&gt;1,"Soporte asignado más de una vez",IF(F112="","Falta la fecha de salida",IF(AND(I112&lt;&gt;"",I112&lt;F112),"La devolución es anterior a la salida",IF(AND(D112="Batería",G112=""),"Falta la carga de salida",IF(AND(D112="Batería",G112&lt;Resumen!$C$3),"Carga de salida inferior al mínimo",IF(AND(D112="Tarjeta",H112=""),"Falta el espacio libre de salida",IF(AND(D112="Tarjeta",I112&lt;&gt;"",L112&lt;&gt;"Sí"),"Descarga pendiente",IF(AND(D112="Tarjeta",L112="Sí",N112&lt;&gt;"Sí"),"Verificación pendiente",IF(AND(D112="Tarjeta",N112="Sí",O112&lt;&gt;"Sí"),"Borrado pendiente",IF(Q112&lt;&gt;"","Revisar incidencia","Correcto"))))))))))))))</f>
        <v/>
      </c>
      <c r="T112" s="20" t="n"/>
    </row>
    <row r="113" ht="22" customHeight="1">
      <c r="A113" s="20" t="n"/>
      <c r="B113" s="20" t="n"/>
      <c r="C113" s="20" t="n"/>
      <c r="D113" s="23">
        <f>IF(C113="","",IFERROR(_xlfn.XLOOKUP(C113,tblInventario[ID del soporte],tblInventario[Tipo],""),""))</f>
        <v/>
      </c>
      <c r="E113" s="20" t="n"/>
      <c r="F113" s="22" t="n"/>
      <c r="G113" s="20" t="n"/>
      <c r="H113" s="21" t="n"/>
      <c r="I113" s="22" t="n"/>
      <c r="J113" s="20" t="n"/>
      <c r="K113" s="21" t="n"/>
      <c r="L113" s="20" t="n"/>
      <c r="M113" s="22" t="n"/>
      <c r="N113" s="20" t="n"/>
      <c r="O113" s="20" t="n"/>
      <c r="P113" s="22" t="n"/>
      <c r="Q113" s="26" t="n"/>
      <c r="R113" s="23">
        <f>IF(A113="","",IF(I113="","Abierto",IF(D113="Tarjeta",IF(OR(L113&lt;&gt;"Sí",N113&lt;&gt;"Sí",O113&lt;&gt;"Sí"),"Pendiente","Cerrado"),IF(D113="Batería","Cerrado","Revisar"))))</f>
        <v/>
      </c>
      <c r="S113" s="25">
        <f>IF(A113="","",IF(B113="","Falta la sesión",IF(C113="","Falta el soporte",IF(D113="","Soporte no encontrado",IF(COUNTIFS(tblControl[ID del soporte],C113,tblControl[Estado del control],"Abierto")&gt;1,"Soporte asignado más de una vez",IF(F113="","Falta la fecha de salida",IF(AND(I113&lt;&gt;"",I113&lt;F113),"La devolución es anterior a la salida",IF(AND(D113="Batería",G113=""),"Falta la carga de salida",IF(AND(D113="Batería",G113&lt;Resumen!$C$3),"Carga de salida inferior al mínimo",IF(AND(D113="Tarjeta",H113=""),"Falta el espacio libre de salida",IF(AND(D113="Tarjeta",I113&lt;&gt;"",L113&lt;&gt;"Sí"),"Descarga pendiente",IF(AND(D113="Tarjeta",L113="Sí",N113&lt;&gt;"Sí"),"Verificación pendiente",IF(AND(D113="Tarjeta",N113="Sí",O113&lt;&gt;"Sí"),"Borrado pendiente",IF(Q113&lt;&gt;"","Revisar incidencia","Correcto"))))))))))))))</f>
        <v/>
      </c>
      <c r="T113" s="20" t="n"/>
    </row>
    <row r="114" ht="22" customHeight="1">
      <c r="A114" s="20" t="n"/>
      <c r="B114" s="20" t="n"/>
      <c r="C114" s="20" t="n"/>
      <c r="D114" s="23">
        <f>IF(C114="","",IFERROR(_xlfn.XLOOKUP(C114,tblInventario[ID del soporte],tblInventario[Tipo],""),""))</f>
        <v/>
      </c>
      <c r="E114" s="20" t="n"/>
      <c r="F114" s="22" t="n"/>
      <c r="G114" s="20" t="n"/>
      <c r="H114" s="21" t="n"/>
      <c r="I114" s="22" t="n"/>
      <c r="J114" s="20" t="n"/>
      <c r="K114" s="21" t="n"/>
      <c r="L114" s="20" t="n"/>
      <c r="M114" s="22" t="n"/>
      <c r="N114" s="20" t="n"/>
      <c r="O114" s="20" t="n"/>
      <c r="P114" s="22" t="n"/>
      <c r="Q114" s="26" t="n"/>
      <c r="R114" s="23">
        <f>IF(A114="","",IF(I114="","Abierto",IF(D114="Tarjeta",IF(OR(L114&lt;&gt;"Sí",N114&lt;&gt;"Sí",O114&lt;&gt;"Sí"),"Pendiente","Cerrado"),IF(D114="Batería","Cerrado","Revisar"))))</f>
        <v/>
      </c>
      <c r="S114" s="25">
        <f>IF(A114="","",IF(B114="","Falta la sesión",IF(C114="","Falta el soporte",IF(D114="","Soporte no encontrado",IF(COUNTIFS(tblControl[ID del soporte],C114,tblControl[Estado del control],"Abierto")&gt;1,"Soporte asignado más de una vez",IF(F114="","Falta la fecha de salida",IF(AND(I114&lt;&gt;"",I114&lt;F114),"La devolución es anterior a la salida",IF(AND(D114="Batería",G114=""),"Falta la carga de salida",IF(AND(D114="Batería",G114&lt;Resumen!$C$3),"Carga de salida inferior al mínimo",IF(AND(D114="Tarjeta",H114=""),"Falta el espacio libre de salida",IF(AND(D114="Tarjeta",I114&lt;&gt;"",L114&lt;&gt;"Sí"),"Descarga pendiente",IF(AND(D114="Tarjeta",L114="Sí",N114&lt;&gt;"Sí"),"Verificación pendiente",IF(AND(D114="Tarjeta",N114="Sí",O114&lt;&gt;"Sí"),"Borrado pendiente",IF(Q114&lt;&gt;"","Revisar incidencia","Correcto"))))))))))))))</f>
        <v/>
      </c>
      <c r="T114" s="20" t="n"/>
    </row>
    <row r="115" ht="22" customHeight="1">
      <c r="A115" s="20" t="n"/>
      <c r="B115" s="20" t="n"/>
      <c r="C115" s="20" t="n"/>
      <c r="D115" s="23">
        <f>IF(C115="","",IFERROR(_xlfn.XLOOKUP(C115,tblInventario[ID del soporte],tblInventario[Tipo],""),""))</f>
        <v/>
      </c>
      <c r="E115" s="20" t="n"/>
      <c r="F115" s="22" t="n"/>
      <c r="G115" s="20" t="n"/>
      <c r="H115" s="21" t="n"/>
      <c r="I115" s="22" t="n"/>
      <c r="J115" s="20" t="n"/>
      <c r="K115" s="21" t="n"/>
      <c r="L115" s="20" t="n"/>
      <c r="M115" s="22" t="n"/>
      <c r="N115" s="20" t="n"/>
      <c r="O115" s="20" t="n"/>
      <c r="P115" s="22" t="n"/>
      <c r="Q115" s="26" t="n"/>
      <c r="R115" s="23">
        <f>IF(A115="","",IF(I115="","Abierto",IF(D115="Tarjeta",IF(OR(L115&lt;&gt;"Sí",N115&lt;&gt;"Sí",O115&lt;&gt;"Sí"),"Pendiente","Cerrado"),IF(D115="Batería","Cerrado","Revisar"))))</f>
        <v/>
      </c>
      <c r="S115" s="25">
        <f>IF(A115="","",IF(B115="","Falta la sesión",IF(C115="","Falta el soporte",IF(D115="","Soporte no encontrado",IF(COUNTIFS(tblControl[ID del soporte],C115,tblControl[Estado del control],"Abierto")&gt;1,"Soporte asignado más de una vez",IF(F115="","Falta la fecha de salida",IF(AND(I115&lt;&gt;"",I115&lt;F115),"La devolución es anterior a la salida",IF(AND(D115="Batería",G115=""),"Falta la carga de salida",IF(AND(D115="Batería",G115&lt;Resumen!$C$3),"Carga de salida inferior al mínimo",IF(AND(D115="Tarjeta",H115=""),"Falta el espacio libre de salida",IF(AND(D115="Tarjeta",I115&lt;&gt;"",L115&lt;&gt;"Sí"),"Descarga pendiente",IF(AND(D115="Tarjeta",L115="Sí",N115&lt;&gt;"Sí"),"Verificación pendiente",IF(AND(D115="Tarjeta",N115="Sí",O115&lt;&gt;"Sí"),"Borrado pendiente",IF(Q115&lt;&gt;"","Revisar incidencia","Correcto"))))))))))))))</f>
        <v/>
      </c>
      <c r="T115" s="20" t="n"/>
    </row>
    <row r="116" ht="22" customHeight="1">
      <c r="A116" s="20" t="n"/>
      <c r="B116" s="20" t="n"/>
      <c r="C116" s="20" t="n"/>
      <c r="D116" s="23">
        <f>IF(C116="","",IFERROR(_xlfn.XLOOKUP(C116,tblInventario[ID del soporte],tblInventario[Tipo],""),""))</f>
        <v/>
      </c>
      <c r="E116" s="20" t="n"/>
      <c r="F116" s="22" t="n"/>
      <c r="G116" s="20" t="n"/>
      <c r="H116" s="21" t="n"/>
      <c r="I116" s="22" t="n"/>
      <c r="J116" s="20" t="n"/>
      <c r="K116" s="21" t="n"/>
      <c r="L116" s="20" t="n"/>
      <c r="M116" s="22" t="n"/>
      <c r="N116" s="20" t="n"/>
      <c r="O116" s="20" t="n"/>
      <c r="P116" s="22" t="n"/>
      <c r="Q116" s="26" t="n"/>
      <c r="R116" s="23">
        <f>IF(A116="","",IF(I116="","Abierto",IF(D116="Tarjeta",IF(OR(L116&lt;&gt;"Sí",N116&lt;&gt;"Sí",O116&lt;&gt;"Sí"),"Pendiente","Cerrado"),IF(D116="Batería","Cerrado","Revisar"))))</f>
        <v/>
      </c>
      <c r="S116" s="25">
        <f>IF(A116="","",IF(B116="","Falta la sesión",IF(C116="","Falta el soporte",IF(D116="","Soporte no encontrado",IF(COUNTIFS(tblControl[ID del soporte],C116,tblControl[Estado del control],"Abierto")&gt;1,"Soporte asignado más de una vez",IF(F116="","Falta la fecha de salida",IF(AND(I116&lt;&gt;"",I116&lt;F116),"La devolución es anterior a la salida",IF(AND(D116="Batería",G116=""),"Falta la carga de salida",IF(AND(D116="Batería",G116&lt;Resumen!$C$3),"Carga de salida inferior al mínimo",IF(AND(D116="Tarjeta",H116=""),"Falta el espacio libre de salida",IF(AND(D116="Tarjeta",I116&lt;&gt;"",L116&lt;&gt;"Sí"),"Descarga pendiente",IF(AND(D116="Tarjeta",L116="Sí",N116&lt;&gt;"Sí"),"Verificación pendiente",IF(AND(D116="Tarjeta",N116="Sí",O116&lt;&gt;"Sí"),"Borrado pendiente",IF(Q116&lt;&gt;"","Revisar incidencia","Correcto"))))))))))))))</f>
        <v/>
      </c>
      <c r="T116" s="20" t="n"/>
    </row>
    <row r="117" ht="22" customHeight="1">
      <c r="A117" s="20" t="n"/>
      <c r="B117" s="20" t="n"/>
      <c r="C117" s="20" t="n"/>
      <c r="D117" s="23">
        <f>IF(C117="","",IFERROR(_xlfn.XLOOKUP(C117,tblInventario[ID del soporte],tblInventario[Tipo],""),""))</f>
        <v/>
      </c>
      <c r="E117" s="20" t="n"/>
      <c r="F117" s="22" t="n"/>
      <c r="G117" s="20" t="n"/>
      <c r="H117" s="21" t="n"/>
      <c r="I117" s="22" t="n"/>
      <c r="J117" s="20" t="n"/>
      <c r="K117" s="21" t="n"/>
      <c r="L117" s="20" t="n"/>
      <c r="M117" s="22" t="n"/>
      <c r="N117" s="20" t="n"/>
      <c r="O117" s="20" t="n"/>
      <c r="P117" s="22" t="n"/>
      <c r="Q117" s="26" t="n"/>
      <c r="R117" s="23">
        <f>IF(A117="","",IF(I117="","Abierto",IF(D117="Tarjeta",IF(OR(L117&lt;&gt;"Sí",N117&lt;&gt;"Sí",O117&lt;&gt;"Sí"),"Pendiente","Cerrado"),IF(D117="Batería","Cerrado","Revisar"))))</f>
        <v/>
      </c>
      <c r="S117" s="25">
        <f>IF(A117="","",IF(B117="","Falta la sesión",IF(C117="","Falta el soporte",IF(D117="","Soporte no encontrado",IF(COUNTIFS(tblControl[ID del soporte],C117,tblControl[Estado del control],"Abierto")&gt;1,"Soporte asignado más de una vez",IF(F117="","Falta la fecha de salida",IF(AND(I117&lt;&gt;"",I117&lt;F117),"La devolución es anterior a la salida",IF(AND(D117="Batería",G117=""),"Falta la carga de salida",IF(AND(D117="Batería",G117&lt;Resumen!$C$3),"Carga de salida inferior al mínimo",IF(AND(D117="Tarjeta",H117=""),"Falta el espacio libre de salida",IF(AND(D117="Tarjeta",I117&lt;&gt;"",L117&lt;&gt;"Sí"),"Descarga pendiente",IF(AND(D117="Tarjeta",L117="Sí",N117&lt;&gt;"Sí"),"Verificación pendiente",IF(AND(D117="Tarjeta",N117="Sí",O117&lt;&gt;"Sí"),"Borrado pendiente",IF(Q117&lt;&gt;"","Revisar incidencia","Correcto"))))))))))))))</f>
        <v/>
      </c>
      <c r="T117" s="20" t="n"/>
    </row>
    <row r="118" ht="22" customHeight="1">
      <c r="A118" s="20" t="n"/>
      <c r="B118" s="20" t="n"/>
      <c r="C118" s="20" t="n"/>
      <c r="D118" s="23">
        <f>IF(C118="","",IFERROR(_xlfn.XLOOKUP(C118,tblInventario[ID del soporte],tblInventario[Tipo],""),""))</f>
        <v/>
      </c>
      <c r="E118" s="20" t="n"/>
      <c r="F118" s="22" t="n"/>
      <c r="G118" s="20" t="n"/>
      <c r="H118" s="21" t="n"/>
      <c r="I118" s="22" t="n"/>
      <c r="J118" s="20" t="n"/>
      <c r="K118" s="21" t="n"/>
      <c r="L118" s="20" t="n"/>
      <c r="M118" s="22" t="n"/>
      <c r="N118" s="20" t="n"/>
      <c r="O118" s="20" t="n"/>
      <c r="P118" s="22" t="n"/>
      <c r="Q118" s="26" t="n"/>
      <c r="R118" s="23">
        <f>IF(A118="","",IF(I118="","Abierto",IF(D118="Tarjeta",IF(OR(L118&lt;&gt;"Sí",N118&lt;&gt;"Sí",O118&lt;&gt;"Sí"),"Pendiente","Cerrado"),IF(D118="Batería","Cerrado","Revisar"))))</f>
        <v/>
      </c>
      <c r="S118" s="25">
        <f>IF(A118="","",IF(B118="","Falta la sesión",IF(C118="","Falta el soporte",IF(D118="","Soporte no encontrado",IF(COUNTIFS(tblControl[ID del soporte],C118,tblControl[Estado del control],"Abierto")&gt;1,"Soporte asignado más de una vez",IF(F118="","Falta la fecha de salida",IF(AND(I118&lt;&gt;"",I118&lt;F118),"La devolución es anterior a la salida",IF(AND(D118="Batería",G118=""),"Falta la carga de salida",IF(AND(D118="Batería",G118&lt;Resumen!$C$3),"Carga de salida inferior al mínimo",IF(AND(D118="Tarjeta",H118=""),"Falta el espacio libre de salida",IF(AND(D118="Tarjeta",I118&lt;&gt;"",L118&lt;&gt;"Sí"),"Descarga pendiente",IF(AND(D118="Tarjeta",L118="Sí",N118&lt;&gt;"Sí"),"Verificación pendiente",IF(AND(D118="Tarjeta",N118="Sí",O118&lt;&gt;"Sí"),"Borrado pendiente",IF(Q118&lt;&gt;"","Revisar incidencia","Correcto"))))))))))))))</f>
        <v/>
      </c>
      <c r="T118" s="20" t="n"/>
    </row>
    <row r="119" ht="22" customHeight="1">
      <c r="A119" s="20" t="n"/>
      <c r="B119" s="20" t="n"/>
      <c r="C119" s="20" t="n"/>
      <c r="D119" s="23">
        <f>IF(C119="","",IFERROR(_xlfn.XLOOKUP(C119,tblInventario[ID del soporte],tblInventario[Tipo],""),""))</f>
        <v/>
      </c>
      <c r="E119" s="20" t="n"/>
      <c r="F119" s="22" t="n"/>
      <c r="G119" s="20" t="n"/>
      <c r="H119" s="21" t="n"/>
      <c r="I119" s="22" t="n"/>
      <c r="J119" s="20" t="n"/>
      <c r="K119" s="21" t="n"/>
      <c r="L119" s="20" t="n"/>
      <c r="M119" s="22" t="n"/>
      <c r="N119" s="20" t="n"/>
      <c r="O119" s="20" t="n"/>
      <c r="P119" s="22" t="n"/>
      <c r="Q119" s="26" t="n"/>
      <c r="R119" s="23">
        <f>IF(A119="","",IF(I119="","Abierto",IF(D119="Tarjeta",IF(OR(L119&lt;&gt;"Sí",N119&lt;&gt;"Sí",O119&lt;&gt;"Sí"),"Pendiente","Cerrado"),IF(D119="Batería","Cerrado","Revisar"))))</f>
        <v/>
      </c>
      <c r="S119" s="25">
        <f>IF(A119="","",IF(B119="","Falta la sesión",IF(C119="","Falta el soporte",IF(D119="","Soporte no encontrado",IF(COUNTIFS(tblControl[ID del soporte],C119,tblControl[Estado del control],"Abierto")&gt;1,"Soporte asignado más de una vez",IF(F119="","Falta la fecha de salida",IF(AND(I119&lt;&gt;"",I119&lt;F119),"La devolución es anterior a la salida",IF(AND(D119="Batería",G119=""),"Falta la carga de salida",IF(AND(D119="Batería",G119&lt;Resumen!$C$3),"Carga de salida inferior al mínimo",IF(AND(D119="Tarjeta",H119=""),"Falta el espacio libre de salida",IF(AND(D119="Tarjeta",I119&lt;&gt;"",L119&lt;&gt;"Sí"),"Descarga pendiente",IF(AND(D119="Tarjeta",L119="Sí",N119&lt;&gt;"Sí"),"Verificación pendiente",IF(AND(D119="Tarjeta",N119="Sí",O119&lt;&gt;"Sí"),"Borrado pendiente",IF(Q119&lt;&gt;"","Revisar incidencia","Correcto"))))))))))))))</f>
        <v/>
      </c>
      <c r="T119" s="20" t="n"/>
    </row>
    <row r="120" ht="22" customHeight="1">
      <c r="A120" s="20" t="n"/>
      <c r="B120" s="20" t="n"/>
      <c r="C120" s="20" t="n"/>
      <c r="D120" s="23">
        <f>IF(C120="","",IFERROR(_xlfn.XLOOKUP(C120,tblInventario[ID del soporte],tblInventario[Tipo],""),""))</f>
        <v/>
      </c>
      <c r="E120" s="20" t="n"/>
      <c r="F120" s="22" t="n"/>
      <c r="G120" s="20" t="n"/>
      <c r="H120" s="21" t="n"/>
      <c r="I120" s="22" t="n"/>
      <c r="J120" s="20" t="n"/>
      <c r="K120" s="21" t="n"/>
      <c r="L120" s="20" t="n"/>
      <c r="M120" s="22" t="n"/>
      <c r="N120" s="20" t="n"/>
      <c r="O120" s="20" t="n"/>
      <c r="P120" s="22" t="n"/>
      <c r="Q120" s="26" t="n"/>
      <c r="R120" s="23">
        <f>IF(A120="","",IF(I120="","Abierto",IF(D120="Tarjeta",IF(OR(L120&lt;&gt;"Sí",N120&lt;&gt;"Sí",O120&lt;&gt;"Sí"),"Pendiente","Cerrado"),IF(D120="Batería","Cerrado","Revisar"))))</f>
        <v/>
      </c>
      <c r="S120" s="25">
        <f>IF(A120="","",IF(B120="","Falta la sesión",IF(C120="","Falta el soporte",IF(D120="","Soporte no encontrado",IF(COUNTIFS(tblControl[ID del soporte],C120,tblControl[Estado del control],"Abierto")&gt;1,"Soporte asignado más de una vez",IF(F120="","Falta la fecha de salida",IF(AND(I120&lt;&gt;"",I120&lt;F120),"La devolución es anterior a la salida",IF(AND(D120="Batería",G120=""),"Falta la carga de salida",IF(AND(D120="Batería",G120&lt;Resumen!$C$3),"Carga de salida inferior al mínimo",IF(AND(D120="Tarjeta",H120=""),"Falta el espacio libre de salida",IF(AND(D120="Tarjeta",I120&lt;&gt;"",L120&lt;&gt;"Sí"),"Descarga pendiente",IF(AND(D120="Tarjeta",L120="Sí",N120&lt;&gt;"Sí"),"Verificación pendiente",IF(AND(D120="Tarjeta",N120="Sí",O120&lt;&gt;"Sí"),"Borrado pendiente",IF(Q120&lt;&gt;"","Revisar incidencia","Correcto"))))))))))))))</f>
        <v/>
      </c>
      <c r="T120" s="20" t="n"/>
    </row>
    <row r="121" ht="22" customHeight="1">
      <c r="A121" s="20" t="n"/>
      <c r="B121" s="20" t="n"/>
      <c r="C121" s="20" t="n"/>
      <c r="D121" s="23">
        <f>IF(C121="","",IFERROR(_xlfn.XLOOKUP(C121,tblInventario[ID del soporte],tblInventario[Tipo],""),""))</f>
        <v/>
      </c>
      <c r="E121" s="20" t="n"/>
      <c r="F121" s="22" t="n"/>
      <c r="G121" s="20" t="n"/>
      <c r="H121" s="21" t="n"/>
      <c r="I121" s="22" t="n"/>
      <c r="J121" s="20" t="n"/>
      <c r="K121" s="21" t="n"/>
      <c r="L121" s="20" t="n"/>
      <c r="M121" s="22" t="n"/>
      <c r="N121" s="20" t="n"/>
      <c r="O121" s="20" t="n"/>
      <c r="P121" s="22" t="n"/>
      <c r="Q121" s="26" t="n"/>
      <c r="R121" s="23">
        <f>IF(A121="","",IF(I121="","Abierto",IF(D121="Tarjeta",IF(OR(L121&lt;&gt;"Sí",N121&lt;&gt;"Sí",O121&lt;&gt;"Sí"),"Pendiente","Cerrado"),IF(D121="Batería","Cerrado","Revisar"))))</f>
        <v/>
      </c>
      <c r="S121" s="25">
        <f>IF(A121="","",IF(B121="","Falta la sesión",IF(C121="","Falta el soporte",IF(D121="","Soporte no encontrado",IF(COUNTIFS(tblControl[ID del soporte],C121,tblControl[Estado del control],"Abierto")&gt;1,"Soporte asignado más de una vez",IF(F121="","Falta la fecha de salida",IF(AND(I121&lt;&gt;"",I121&lt;F121),"La devolución es anterior a la salida",IF(AND(D121="Batería",G121=""),"Falta la carga de salida",IF(AND(D121="Batería",G121&lt;Resumen!$C$3),"Carga de salida inferior al mínimo",IF(AND(D121="Tarjeta",H121=""),"Falta el espacio libre de salida",IF(AND(D121="Tarjeta",I121&lt;&gt;"",L121&lt;&gt;"Sí"),"Descarga pendiente",IF(AND(D121="Tarjeta",L121="Sí",N121&lt;&gt;"Sí"),"Verificación pendiente",IF(AND(D121="Tarjeta",N121="Sí",O121&lt;&gt;"Sí"),"Borrado pendiente",IF(Q121&lt;&gt;"","Revisar incidencia","Correcto"))))))))))))))</f>
        <v/>
      </c>
      <c r="T121" s="20" t="n"/>
    </row>
    <row r="122" ht="22" customHeight="1">
      <c r="A122" s="20" t="n"/>
      <c r="B122" s="20" t="n"/>
      <c r="C122" s="20" t="n"/>
      <c r="D122" s="23">
        <f>IF(C122="","",IFERROR(_xlfn.XLOOKUP(C122,tblInventario[ID del soporte],tblInventario[Tipo],""),""))</f>
        <v/>
      </c>
      <c r="E122" s="20" t="n"/>
      <c r="F122" s="22" t="n"/>
      <c r="G122" s="20" t="n"/>
      <c r="H122" s="21" t="n"/>
      <c r="I122" s="22" t="n"/>
      <c r="J122" s="20" t="n"/>
      <c r="K122" s="21" t="n"/>
      <c r="L122" s="20" t="n"/>
      <c r="M122" s="22" t="n"/>
      <c r="N122" s="20" t="n"/>
      <c r="O122" s="20" t="n"/>
      <c r="P122" s="22" t="n"/>
      <c r="Q122" s="26" t="n"/>
      <c r="R122" s="23">
        <f>IF(A122="","",IF(I122="","Abierto",IF(D122="Tarjeta",IF(OR(L122&lt;&gt;"Sí",N122&lt;&gt;"Sí",O122&lt;&gt;"Sí"),"Pendiente","Cerrado"),IF(D122="Batería","Cerrado","Revisar"))))</f>
        <v/>
      </c>
      <c r="S122" s="25">
        <f>IF(A122="","",IF(B122="","Falta la sesión",IF(C122="","Falta el soporte",IF(D122="","Soporte no encontrado",IF(COUNTIFS(tblControl[ID del soporte],C122,tblControl[Estado del control],"Abierto")&gt;1,"Soporte asignado más de una vez",IF(F122="","Falta la fecha de salida",IF(AND(I122&lt;&gt;"",I122&lt;F122),"La devolución es anterior a la salida",IF(AND(D122="Batería",G122=""),"Falta la carga de salida",IF(AND(D122="Batería",G122&lt;Resumen!$C$3),"Carga de salida inferior al mínimo",IF(AND(D122="Tarjeta",H122=""),"Falta el espacio libre de salida",IF(AND(D122="Tarjeta",I122&lt;&gt;"",L122&lt;&gt;"Sí"),"Descarga pendiente",IF(AND(D122="Tarjeta",L122="Sí",N122&lt;&gt;"Sí"),"Verificación pendiente",IF(AND(D122="Tarjeta",N122="Sí",O122&lt;&gt;"Sí"),"Borrado pendiente",IF(Q122&lt;&gt;"","Revisar incidencia","Correcto"))))))))))))))</f>
        <v/>
      </c>
      <c r="T122" s="20" t="n"/>
    </row>
    <row r="123" ht="22" customHeight="1">
      <c r="A123" s="20" t="n"/>
      <c r="B123" s="20" t="n"/>
      <c r="C123" s="20" t="n"/>
      <c r="D123" s="23">
        <f>IF(C123="","",IFERROR(_xlfn.XLOOKUP(C123,tblInventario[ID del soporte],tblInventario[Tipo],""),""))</f>
        <v/>
      </c>
      <c r="E123" s="20" t="n"/>
      <c r="F123" s="22" t="n"/>
      <c r="G123" s="20" t="n"/>
      <c r="H123" s="21" t="n"/>
      <c r="I123" s="22" t="n"/>
      <c r="J123" s="20" t="n"/>
      <c r="K123" s="21" t="n"/>
      <c r="L123" s="20" t="n"/>
      <c r="M123" s="22" t="n"/>
      <c r="N123" s="20" t="n"/>
      <c r="O123" s="20" t="n"/>
      <c r="P123" s="22" t="n"/>
      <c r="Q123" s="26" t="n"/>
      <c r="R123" s="23">
        <f>IF(A123="","",IF(I123="","Abierto",IF(D123="Tarjeta",IF(OR(L123&lt;&gt;"Sí",N123&lt;&gt;"Sí",O123&lt;&gt;"Sí"),"Pendiente","Cerrado"),IF(D123="Batería","Cerrado","Revisar"))))</f>
        <v/>
      </c>
      <c r="S123" s="25">
        <f>IF(A123="","",IF(B123="","Falta la sesión",IF(C123="","Falta el soporte",IF(D123="","Soporte no encontrado",IF(COUNTIFS(tblControl[ID del soporte],C123,tblControl[Estado del control],"Abierto")&gt;1,"Soporte asignado más de una vez",IF(F123="","Falta la fecha de salida",IF(AND(I123&lt;&gt;"",I123&lt;F123),"La devolución es anterior a la salida",IF(AND(D123="Batería",G123=""),"Falta la carga de salida",IF(AND(D123="Batería",G123&lt;Resumen!$C$3),"Carga de salida inferior al mínimo",IF(AND(D123="Tarjeta",H123=""),"Falta el espacio libre de salida",IF(AND(D123="Tarjeta",I123&lt;&gt;"",L123&lt;&gt;"Sí"),"Descarga pendiente",IF(AND(D123="Tarjeta",L123="Sí",N123&lt;&gt;"Sí"),"Verificación pendiente",IF(AND(D123="Tarjeta",N123="Sí",O123&lt;&gt;"Sí"),"Borrado pendiente",IF(Q123&lt;&gt;"","Revisar incidencia","Correcto"))))))))))))))</f>
        <v/>
      </c>
      <c r="T123" s="20" t="n"/>
    </row>
    <row r="124" ht="22" customHeight="1">
      <c r="A124" s="20" t="n"/>
      <c r="B124" s="20" t="n"/>
      <c r="C124" s="20" t="n"/>
      <c r="D124" s="23">
        <f>IF(C124="","",IFERROR(_xlfn.XLOOKUP(C124,tblInventario[ID del soporte],tblInventario[Tipo],""),""))</f>
        <v/>
      </c>
      <c r="E124" s="20" t="n"/>
      <c r="F124" s="22" t="n"/>
      <c r="G124" s="20" t="n"/>
      <c r="H124" s="21" t="n"/>
      <c r="I124" s="22" t="n"/>
      <c r="J124" s="20" t="n"/>
      <c r="K124" s="21" t="n"/>
      <c r="L124" s="20" t="n"/>
      <c r="M124" s="22" t="n"/>
      <c r="N124" s="20" t="n"/>
      <c r="O124" s="20" t="n"/>
      <c r="P124" s="22" t="n"/>
      <c r="Q124" s="26" t="n"/>
      <c r="R124" s="23">
        <f>IF(A124="","",IF(I124="","Abierto",IF(D124="Tarjeta",IF(OR(L124&lt;&gt;"Sí",N124&lt;&gt;"Sí",O124&lt;&gt;"Sí"),"Pendiente","Cerrado"),IF(D124="Batería","Cerrado","Revisar"))))</f>
        <v/>
      </c>
      <c r="S124" s="25">
        <f>IF(A124="","",IF(B124="","Falta la sesión",IF(C124="","Falta el soporte",IF(D124="","Soporte no encontrado",IF(COUNTIFS(tblControl[ID del soporte],C124,tblControl[Estado del control],"Abierto")&gt;1,"Soporte asignado más de una vez",IF(F124="","Falta la fecha de salida",IF(AND(I124&lt;&gt;"",I124&lt;F124),"La devolución es anterior a la salida",IF(AND(D124="Batería",G124=""),"Falta la carga de salida",IF(AND(D124="Batería",G124&lt;Resumen!$C$3),"Carga de salida inferior al mínimo",IF(AND(D124="Tarjeta",H124=""),"Falta el espacio libre de salida",IF(AND(D124="Tarjeta",I124&lt;&gt;"",L124&lt;&gt;"Sí"),"Descarga pendiente",IF(AND(D124="Tarjeta",L124="Sí",N124&lt;&gt;"Sí"),"Verificación pendiente",IF(AND(D124="Tarjeta",N124="Sí",O124&lt;&gt;"Sí"),"Borrado pendiente",IF(Q124&lt;&gt;"","Revisar incidencia","Correcto"))))))))))))))</f>
        <v/>
      </c>
      <c r="T124" s="20" t="n"/>
    </row>
    <row r="125" ht="22" customHeight="1">
      <c r="A125" s="20" t="n"/>
      <c r="B125" s="20" t="n"/>
      <c r="C125" s="20" t="n"/>
      <c r="D125" s="23">
        <f>IF(C125="","",IFERROR(_xlfn.XLOOKUP(C125,tblInventario[ID del soporte],tblInventario[Tipo],""),""))</f>
        <v/>
      </c>
      <c r="E125" s="20" t="n"/>
      <c r="F125" s="22" t="n"/>
      <c r="G125" s="20" t="n"/>
      <c r="H125" s="21" t="n"/>
      <c r="I125" s="22" t="n"/>
      <c r="J125" s="20" t="n"/>
      <c r="K125" s="21" t="n"/>
      <c r="L125" s="20" t="n"/>
      <c r="M125" s="22" t="n"/>
      <c r="N125" s="20" t="n"/>
      <c r="O125" s="20" t="n"/>
      <c r="P125" s="22" t="n"/>
      <c r="Q125" s="26" t="n"/>
      <c r="R125" s="23">
        <f>IF(A125="","",IF(I125="","Abierto",IF(D125="Tarjeta",IF(OR(L125&lt;&gt;"Sí",N125&lt;&gt;"Sí",O125&lt;&gt;"Sí"),"Pendiente","Cerrado"),IF(D125="Batería","Cerrado","Revisar"))))</f>
        <v/>
      </c>
      <c r="S125" s="25">
        <f>IF(A125="","",IF(B125="","Falta la sesión",IF(C125="","Falta el soporte",IF(D125="","Soporte no encontrado",IF(COUNTIFS(tblControl[ID del soporte],C125,tblControl[Estado del control],"Abierto")&gt;1,"Soporte asignado más de una vez",IF(F125="","Falta la fecha de salida",IF(AND(I125&lt;&gt;"",I125&lt;F125),"La devolución es anterior a la salida",IF(AND(D125="Batería",G125=""),"Falta la carga de salida",IF(AND(D125="Batería",G125&lt;Resumen!$C$3),"Carga de salida inferior al mínimo",IF(AND(D125="Tarjeta",H125=""),"Falta el espacio libre de salida",IF(AND(D125="Tarjeta",I125&lt;&gt;"",L125&lt;&gt;"Sí"),"Descarga pendiente",IF(AND(D125="Tarjeta",L125="Sí",N125&lt;&gt;"Sí"),"Verificación pendiente",IF(AND(D125="Tarjeta",N125="Sí",O125&lt;&gt;"Sí"),"Borrado pendiente",IF(Q125&lt;&gt;"","Revisar incidencia","Correcto"))))))))))))))</f>
        <v/>
      </c>
      <c r="T125" s="20" t="n"/>
    </row>
    <row r="126" ht="22" customHeight="1">
      <c r="A126" s="20" t="n"/>
      <c r="B126" s="20" t="n"/>
      <c r="C126" s="20" t="n"/>
      <c r="D126" s="23">
        <f>IF(C126="","",IFERROR(_xlfn.XLOOKUP(C126,tblInventario[ID del soporte],tblInventario[Tipo],""),""))</f>
        <v/>
      </c>
      <c r="E126" s="20" t="n"/>
      <c r="F126" s="22" t="n"/>
      <c r="G126" s="20" t="n"/>
      <c r="H126" s="21" t="n"/>
      <c r="I126" s="22" t="n"/>
      <c r="J126" s="20" t="n"/>
      <c r="K126" s="21" t="n"/>
      <c r="L126" s="20" t="n"/>
      <c r="M126" s="22" t="n"/>
      <c r="N126" s="20" t="n"/>
      <c r="O126" s="20" t="n"/>
      <c r="P126" s="22" t="n"/>
      <c r="Q126" s="26" t="n"/>
      <c r="R126" s="23">
        <f>IF(A126="","",IF(I126="","Abierto",IF(D126="Tarjeta",IF(OR(L126&lt;&gt;"Sí",N126&lt;&gt;"Sí",O126&lt;&gt;"Sí"),"Pendiente","Cerrado"),IF(D126="Batería","Cerrado","Revisar"))))</f>
        <v/>
      </c>
      <c r="S126" s="25">
        <f>IF(A126="","",IF(B126="","Falta la sesión",IF(C126="","Falta el soporte",IF(D126="","Soporte no encontrado",IF(COUNTIFS(tblControl[ID del soporte],C126,tblControl[Estado del control],"Abierto")&gt;1,"Soporte asignado más de una vez",IF(F126="","Falta la fecha de salida",IF(AND(I126&lt;&gt;"",I126&lt;F126),"La devolución es anterior a la salida",IF(AND(D126="Batería",G126=""),"Falta la carga de salida",IF(AND(D126="Batería",G126&lt;Resumen!$C$3),"Carga de salida inferior al mínimo",IF(AND(D126="Tarjeta",H126=""),"Falta el espacio libre de salida",IF(AND(D126="Tarjeta",I126&lt;&gt;"",L126&lt;&gt;"Sí"),"Descarga pendiente",IF(AND(D126="Tarjeta",L126="Sí",N126&lt;&gt;"Sí"),"Verificación pendiente",IF(AND(D126="Tarjeta",N126="Sí",O126&lt;&gt;"Sí"),"Borrado pendiente",IF(Q126&lt;&gt;"","Revisar incidencia","Correcto"))))))))))))))</f>
        <v/>
      </c>
      <c r="T126" s="20" t="n"/>
    </row>
    <row r="127" ht="22" customHeight="1">
      <c r="A127" s="20" t="n"/>
      <c r="B127" s="20" t="n"/>
      <c r="C127" s="20" t="n"/>
      <c r="D127" s="23">
        <f>IF(C127="","",IFERROR(_xlfn.XLOOKUP(C127,tblInventario[ID del soporte],tblInventario[Tipo],""),""))</f>
        <v/>
      </c>
      <c r="E127" s="20" t="n"/>
      <c r="F127" s="22" t="n"/>
      <c r="G127" s="20" t="n"/>
      <c r="H127" s="21" t="n"/>
      <c r="I127" s="22" t="n"/>
      <c r="J127" s="20" t="n"/>
      <c r="K127" s="21" t="n"/>
      <c r="L127" s="20" t="n"/>
      <c r="M127" s="22" t="n"/>
      <c r="N127" s="20" t="n"/>
      <c r="O127" s="20" t="n"/>
      <c r="P127" s="22" t="n"/>
      <c r="Q127" s="26" t="n"/>
      <c r="R127" s="23">
        <f>IF(A127="","",IF(I127="","Abierto",IF(D127="Tarjeta",IF(OR(L127&lt;&gt;"Sí",N127&lt;&gt;"Sí",O127&lt;&gt;"Sí"),"Pendiente","Cerrado"),IF(D127="Batería","Cerrado","Revisar"))))</f>
        <v/>
      </c>
      <c r="S127" s="25">
        <f>IF(A127="","",IF(B127="","Falta la sesión",IF(C127="","Falta el soporte",IF(D127="","Soporte no encontrado",IF(COUNTIFS(tblControl[ID del soporte],C127,tblControl[Estado del control],"Abierto")&gt;1,"Soporte asignado más de una vez",IF(F127="","Falta la fecha de salida",IF(AND(I127&lt;&gt;"",I127&lt;F127),"La devolución es anterior a la salida",IF(AND(D127="Batería",G127=""),"Falta la carga de salida",IF(AND(D127="Batería",G127&lt;Resumen!$C$3),"Carga de salida inferior al mínimo",IF(AND(D127="Tarjeta",H127=""),"Falta el espacio libre de salida",IF(AND(D127="Tarjeta",I127&lt;&gt;"",L127&lt;&gt;"Sí"),"Descarga pendiente",IF(AND(D127="Tarjeta",L127="Sí",N127&lt;&gt;"Sí"),"Verificación pendiente",IF(AND(D127="Tarjeta",N127="Sí",O127&lt;&gt;"Sí"),"Borrado pendiente",IF(Q127&lt;&gt;"","Revisar incidencia","Correcto"))))))))))))))</f>
        <v/>
      </c>
      <c r="T127" s="20" t="n"/>
    </row>
    <row r="128" ht="22" customHeight="1">
      <c r="A128" s="20" t="n"/>
      <c r="B128" s="20" t="n"/>
      <c r="C128" s="20" t="n"/>
      <c r="D128" s="23">
        <f>IF(C128="","",IFERROR(_xlfn.XLOOKUP(C128,tblInventario[ID del soporte],tblInventario[Tipo],""),""))</f>
        <v/>
      </c>
      <c r="E128" s="20" t="n"/>
      <c r="F128" s="22" t="n"/>
      <c r="G128" s="20" t="n"/>
      <c r="H128" s="21" t="n"/>
      <c r="I128" s="22" t="n"/>
      <c r="J128" s="20" t="n"/>
      <c r="K128" s="21" t="n"/>
      <c r="L128" s="20" t="n"/>
      <c r="M128" s="22" t="n"/>
      <c r="N128" s="20" t="n"/>
      <c r="O128" s="20" t="n"/>
      <c r="P128" s="22" t="n"/>
      <c r="Q128" s="26" t="n"/>
      <c r="R128" s="23">
        <f>IF(A128="","",IF(I128="","Abierto",IF(D128="Tarjeta",IF(OR(L128&lt;&gt;"Sí",N128&lt;&gt;"Sí",O128&lt;&gt;"Sí"),"Pendiente","Cerrado"),IF(D128="Batería","Cerrado","Revisar"))))</f>
        <v/>
      </c>
      <c r="S128" s="25">
        <f>IF(A128="","",IF(B128="","Falta la sesión",IF(C128="","Falta el soporte",IF(D128="","Soporte no encontrado",IF(COUNTIFS(tblControl[ID del soporte],C128,tblControl[Estado del control],"Abierto")&gt;1,"Soporte asignado más de una vez",IF(F128="","Falta la fecha de salida",IF(AND(I128&lt;&gt;"",I128&lt;F128),"La devolución es anterior a la salida",IF(AND(D128="Batería",G128=""),"Falta la carga de salida",IF(AND(D128="Batería",G128&lt;Resumen!$C$3),"Carga de salida inferior al mínimo",IF(AND(D128="Tarjeta",H128=""),"Falta el espacio libre de salida",IF(AND(D128="Tarjeta",I128&lt;&gt;"",L128&lt;&gt;"Sí"),"Descarga pendiente",IF(AND(D128="Tarjeta",L128="Sí",N128&lt;&gt;"Sí"),"Verificación pendiente",IF(AND(D128="Tarjeta",N128="Sí",O128&lt;&gt;"Sí"),"Borrado pendiente",IF(Q128&lt;&gt;"","Revisar incidencia","Correcto"))))))))))))))</f>
        <v/>
      </c>
      <c r="T128" s="20" t="n"/>
    </row>
    <row r="129" ht="22" customHeight="1">
      <c r="A129" s="20" t="n"/>
      <c r="B129" s="20" t="n"/>
      <c r="C129" s="20" t="n"/>
      <c r="D129" s="23">
        <f>IF(C129="","",IFERROR(_xlfn.XLOOKUP(C129,tblInventario[ID del soporte],tblInventario[Tipo],""),""))</f>
        <v/>
      </c>
      <c r="E129" s="20" t="n"/>
      <c r="F129" s="22" t="n"/>
      <c r="G129" s="20" t="n"/>
      <c r="H129" s="21" t="n"/>
      <c r="I129" s="22" t="n"/>
      <c r="J129" s="20" t="n"/>
      <c r="K129" s="21" t="n"/>
      <c r="L129" s="20" t="n"/>
      <c r="M129" s="22" t="n"/>
      <c r="N129" s="20" t="n"/>
      <c r="O129" s="20" t="n"/>
      <c r="P129" s="22" t="n"/>
      <c r="Q129" s="26" t="n"/>
      <c r="R129" s="23">
        <f>IF(A129="","",IF(I129="","Abierto",IF(D129="Tarjeta",IF(OR(L129&lt;&gt;"Sí",N129&lt;&gt;"Sí",O129&lt;&gt;"Sí"),"Pendiente","Cerrado"),IF(D129="Batería","Cerrado","Revisar"))))</f>
        <v/>
      </c>
      <c r="S129" s="25">
        <f>IF(A129="","",IF(B129="","Falta la sesión",IF(C129="","Falta el soporte",IF(D129="","Soporte no encontrado",IF(COUNTIFS(tblControl[ID del soporte],C129,tblControl[Estado del control],"Abierto")&gt;1,"Soporte asignado más de una vez",IF(F129="","Falta la fecha de salida",IF(AND(I129&lt;&gt;"",I129&lt;F129),"La devolución es anterior a la salida",IF(AND(D129="Batería",G129=""),"Falta la carga de salida",IF(AND(D129="Batería",G129&lt;Resumen!$C$3),"Carga de salida inferior al mínimo",IF(AND(D129="Tarjeta",H129=""),"Falta el espacio libre de salida",IF(AND(D129="Tarjeta",I129&lt;&gt;"",L129&lt;&gt;"Sí"),"Descarga pendiente",IF(AND(D129="Tarjeta",L129="Sí",N129&lt;&gt;"Sí"),"Verificación pendiente",IF(AND(D129="Tarjeta",N129="Sí",O129&lt;&gt;"Sí"),"Borrado pendiente",IF(Q129&lt;&gt;"","Revisar incidencia","Correcto"))))))))))))))</f>
        <v/>
      </c>
      <c r="T129" s="20" t="n"/>
    </row>
    <row r="130" ht="22" customHeight="1">
      <c r="A130" s="20" t="n"/>
      <c r="B130" s="20" t="n"/>
      <c r="C130" s="20" t="n"/>
      <c r="D130" s="23">
        <f>IF(C130="","",IFERROR(_xlfn.XLOOKUP(C130,tblInventario[ID del soporte],tblInventario[Tipo],""),""))</f>
        <v/>
      </c>
      <c r="E130" s="20" t="n"/>
      <c r="F130" s="22" t="n"/>
      <c r="G130" s="20" t="n"/>
      <c r="H130" s="21" t="n"/>
      <c r="I130" s="22" t="n"/>
      <c r="J130" s="20" t="n"/>
      <c r="K130" s="21" t="n"/>
      <c r="L130" s="20" t="n"/>
      <c r="M130" s="22" t="n"/>
      <c r="N130" s="20" t="n"/>
      <c r="O130" s="20" t="n"/>
      <c r="P130" s="22" t="n"/>
      <c r="Q130" s="26" t="n"/>
      <c r="R130" s="23">
        <f>IF(A130="","",IF(I130="","Abierto",IF(D130="Tarjeta",IF(OR(L130&lt;&gt;"Sí",N130&lt;&gt;"Sí",O130&lt;&gt;"Sí"),"Pendiente","Cerrado"),IF(D130="Batería","Cerrado","Revisar"))))</f>
        <v/>
      </c>
      <c r="S130" s="25">
        <f>IF(A130="","",IF(B130="","Falta la sesión",IF(C130="","Falta el soporte",IF(D130="","Soporte no encontrado",IF(COUNTIFS(tblControl[ID del soporte],C130,tblControl[Estado del control],"Abierto")&gt;1,"Soporte asignado más de una vez",IF(F130="","Falta la fecha de salida",IF(AND(I130&lt;&gt;"",I130&lt;F130),"La devolución es anterior a la salida",IF(AND(D130="Batería",G130=""),"Falta la carga de salida",IF(AND(D130="Batería",G130&lt;Resumen!$C$3),"Carga de salida inferior al mínimo",IF(AND(D130="Tarjeta",H130=""),"Falta el espacio libre de salida",IF(AND(D130="Tarjeta",I130&lt;&gt;"",L130&lt;&gt;"Sí"),"Descarga pendiente",IF(AND(D130="Tarjeta",L130="Sí",N130&lt;&gt;"Sí"),"Verificación pendiente",IF(AND(D130="Tarjeta",N130="Sí",O130&lt;&gt;"Sí"),"Borrado pendiente",IF(Q130&lt;&gt;"","Revisar incidencia","Correcto"))))))))))))))</f>
        <v/>
      </c>
      <c r="T130" s="20" t="n"/>
    </row>
    <row r="131" ht="22" customHeight="1">
      <c r="A131" s="20" t="n"/>
      <c r="B131" s="20" t="n"/>
      <c r="C131" s="20" t="n"/>
      <c r="D131" s="23">
        <f>IF(C131="","",IFERROR(_xlfn.XLOOKUP(C131,tblInventario[ID del soporte],tblInventario[Tipo],""),""))</f>
        <v/>
      </c>
      <c r="E131" s="20" t="n"/>
      <c r="F131" s="22" t="n"/>
      <c r="G131" s="20" t="n"/>
      <c r="H131" s="21" t="n"/>
      <c r="I131" s="22" t="n"/>
      <c r="J131" s="20" t="n"/>
      <c r="K131" s="21" t="n"/>
      <c r="L131" s="20" t="n"/>
      <c r="M131" s="22" t="n"/>
      <c r="N131" s="20" t="n"/>
      <c r="O131" s="20" t="n"/>
      <c r="P131" s="22" t="n"/>
      <c r="Q131" s="26" t="n"/>
      <c r="R131" s="23">
        <f>IF(A131="","",IF(I131="","Abierto",IF(D131="Tarjeta",IF(OR(L131&lt;&gt;"Sí",N131&lt;&gt;"Sí",O131&lt;&gt;"Sí"),"Pendiente","Cerrado"),IF(D131="Batería","Cerrado","Revisar"))))</f>
        <v/>
      </c>
      <c r="S131" s="25">
        <f>IF(A131="","",IF(B131="","Falta la sesión",IF(C131="","Falta el soporte",IF(D131="","Soporte no encontrado",IF(COUNTIFS(tblControl[ID del soporte],C131,tblControl[Estado del control],"Abierto")&gt;1,"Soporte asignado más de una vez",IF(F131="","Falta la fecha de salida",IF(AND(I131&lt;&gt;"",I131&lt;F131),"La devolución es anterior a la salida",IF(AND(D131="Batería",G131=""),"Falta la carga de salida",IF(AND(D131="Batería",G131&lt;Resumen!$C$3),"Carga de salida inferior al mínimo",IF(AND(D131="Tarjeta",H131=""),"Falta el espacio libre de salida",IF(AND(D131="Tarjeta",I131&lt;&gt;"",L131&lt;&gt;"Sí"),"Descarga pendiente",IF(AND(D131="Tarjeta",L131="Sí",N131&lt;&gt;"Sí"),"Verificación pendiente",IF(AND(D131="Tarjeta",N131="Sí",O131&lt;&gt;"Sí"),"Borrado pendiente",IF(Q131&lt;&gt;"","Revisar incidencia","Correcto"))))))))))))))</f>
        <v/>
      </c>
      <c r="T131" s="20" t="n"/>
    </row>
    <row r="132" ht="22" customHeight="1">
      <c r="A132" s="20" t="n"/>
      <c r="B132" s="20" t="n"/>
      <c r="C132" s="20" t="n"/>
      <c r="D132" s="23">
        <f>IF(C132="","",IFERROR(_xlfn.XLOOKUP(C132,tblInventario[ID del soporte],tblInventario[Tipo],""),""))</f>
        <v/>
      </c>
      <c r="E132" s="20" t="n"/>
      <c r="F132" s="22" t="n"/>
      <c r="G132" s="20" t="n"/>
      <c r="H132" s="21" t="n"/>
      <c r="I132" s="22" t="n"/>
      <c r="J132" s="20" t="n"/>
      <c r="K132" s="21" t="n"/>
      <c r="L132" s="20" t="n"/>
      <c r="M132" s="22" t="n"/>
      <c r="N132" s="20" t="n"/>
      <c r="O132" s="20" t="n"/>
      <c r="P132" s="22" t="n"/>
      <c r="Q132" s="26" t="n"/>
      <c r="R132" s="23">
        <f>IF(A132="","",IF(I132="","Abierto",IF(D132="Tarjeta",IF(OR(L132&lt;&gt;"Sí",N132&lt;&gt;"Sí",O132&lt;&gt;"Sí"),"Pendiente","Cerrado"),IF(D132="Batería","Cerrado","Revisar"))))</f>
        <v/>
      </c>
      <c r="S132" s="25">
        <f>IF(A132="","",IF(B132="","Falta la sesión",IF(C132="","Falta el soporte",IF(D132="","Soporte no encontrado",IF(COUNTIFS(tblControl[ID del soporte],C132,tblControl[Estado del control],"Abierto")&gt;1,"Soporte asignado más de una vez",IF(F132="","Falta la fecha de salida",IF(AND(I132&lt;&gt;"",I132&lt;F132),"La devolución es anterior a la salida",IF(AND(D132="Batería",G132=""),"Falta la carga de salida",IF(AND(D132="Batería",G132&lt;Resumen!$C$3),"Carga de salida inferior al mínimo",IF(AND(D132="Tarjeta",H132=""),"Falta el espacio libre de salida",IF(AND(D132="Tarjeta",I132&lt;&gt;"",L132&lt;&gt;"Sí"),"Descarga pendiente",IF(AND(D132="Tarjeta",L132="Sí",N132&lt;&gt;"Sí"),"Verificación pendiente",IF(AND(D132="Tarjeta",N132="Sí",O132&lt;&gt;"Sí"),"Borrado pendiente",IF(Q132&lt;&gt;"","Revisar incidencia","Correcto"))))))))))))))</f>
        <v/>
      </c>
      <c r="T132" s="20" t="n"/>
    </row>
    <row r="133" ht="22" customHeight="1">
      <c r="A133" s="20" t="n"/>
      <c r="B133" s="20" t="n"/>
      <c r="C133" s="20" t="n"/>
      <c r="D133" s="23">
        <f>IF(C133="","",IFERROR(_xlfn.XLOOKUP(C133,tblInventario[ID del soporte],tblInventario[Tipo],""),""))</f>
        <v/>
      </c>
      <c r="E133" s="20" t="n"/>
      <c r="F133" s="22" t="n"/>
      <c r="G133" s="20" t="n"/>
      <c r="H133" s="21" t="n"/>
      <c r="I133" s="22" t="n"/>
      <c r="J133" s="20" t="n"/>
      <c r="K133" s="21" t="n"/>
      <c r="L133" s="20" t="n"/>
      <c r="M133" s="22" t="n"/>
      <c r="N133" s="20" t="n"/>
      <c r="O133" s="20" t="n"/>
      <c r="P133" s="22" t="n"/>
      <c r="Q133" s="26" t="n"/>
      <c r="R133" s="23">
        <f>IF(A133="","",IF(I133="","Abierto",IF(D133="Tarjeta",IF(OR(L133&lt;&gt;"Sí",N133&lt;&gt;"Sí",O133&lt;&gt;"Sí"),"Pendiente","Cerrado"),IF(D133="Batería","Cerrado","Revisar"))))</f>
        <v/>
      </c>
      <c r="S133" s="25">
        <f>IF(A133="","",IF(B133="","Falta la sesión",IF(C133="","Falta el soporte",IF(D133="","Soporte no encontrado",IF(COUNTIFS(tblControl[ID del soporte],C133,tblControl[Estado del control],"Abierto")&gt;1,"Soporte asignado más de una vez",IF(F133="","Falta la fecha de salida",IF(AND(I133&lt;&gt;"",I133&lt;F133),"La devolución es anterior a la salida",IF(AND(D133="Batería",G133=""),"Falta la carga de salida",IF(AND(D133="Batería",G133&lt;Resumen!$C$3),"Carga de salida inferior al mínimo",IF(AND(D133="Tarjeta",H133=""),"Falta el espacio libre de salida",IF(AND(D133="Tarjeta",I133&lt;&gt;"",L133&lt;&gt;"Sí"),"Descarga pendiente",IF(AND(D133="Tarjeta",L133="Sí",N133&lt;&gt;"Sí"),"Verificación pendiente",IF(AND(D133="Tarjeta",N133="Sí",O133&lt;&gt;"Sí"),"Borrado pendiente",IF(Q133&lt;&gt;"","Revisar incidencia","Correcto"))))))))))))))</f>
        <v/>
      </c>
      <c r="T133" s="20" t="n"/>
    </row>
    <row r="134" ht="22" customHeight="1">
      <c r="A134" s="20" t="n"/>
      <c r="B134" s="20" t="n"/>
      <c r="C134" s="20" t="n"/>
      <c r="D134" s="23">
        <f>IF(C134="","",IFERROR(_xlfn.XLOOKUP(C134,tblInventario[ID del soporte],tblInventario[Tipo],""),""))</f>
        <v/>
      </c>
      <c r="E134" s="20" t="n"/>
      <c r="F134" s="22" t="n"/>
      <c r="G134" s="20" t="n"/>
      <c r="H134" s="21" t="n"/>
      <c r="I134" s="22" t="n"/>
      <c r="J134" s="20" t="n"/>
      <c r="K134" s="21" t="n"/>
      <c r="L134" s="20" t="n"/>
      <c r="M134" s="22" t="n"/>
      <c r="N134" s="20" t="n"/>
      <c r="O134" s="20" t="n"/>
      <c r="P134" s="22" t="n"/>
      <c r="Q134" s="26" t="n"/>
      <c r="R134" s="23">
        <f>IF(A134="","",IF(I134="","Abierto",IF(D134="Tarjeta",IF(OR(L134&lt;&gt;"Sí",N134&lt;&gt;"Sí",O134&lt;&gt;"Sí"),"Pendiente","Cerrado"),IF(D134="Batería","Cerrado","Revisar"))))</f>
        <v/>
      </c>
      <c r="S134" s="25">
        <f>IF(A134="","",IF(B134="","Falta la sesión",IF(C134="","Falta el soporte",IF(D134="","Soporte no encontrado",IF(COUNTIFS(tblControl[ID del soporte],C134,tblControl[Estado del control],"Abierto")&gt;1,"Soporte asignado más de una vez",IF(F134="","Falta la fecha de salida",IF(AND(I134&lt;&gt;"",I134&lt;F134),"La devolución es anterior a la salida",IF(AND(D134="Batería",G134=""),"Falta la carga de salida",IF(AND(D134="Batería",G134&lt;Resumen!$C$3),"Carga de salida inferior al mínimo",IF(AND(D134="Tarjeta",H134=""),"Falta el espacio libre de salida",IF(AND(D134="Tarjeta",I134&lt;&gt;"",L134&lt;&gt;"Sí"),"Descarga pendiente",IF(AND(D134="Tarjeta",L134="Sí",N134&lt;&gt;"Sí"),"Verificación pendiente",IF(AND(D134="Tarjeta",N134="Sí",O134&lt;&gt;"Sí"),"Borrado pendiente",IF(Q134&lt;&gt;"","Revisar incidencia","Correcto"))))))))))))))</f>
        <v/>
      </c>
      <c r="T134" s="20" t="n"/>
    </row>
    <row r="135" ht="22" customHeight="1">
      <c r="A135" s="20" t="n"/>
      <c r="B135" s="20" t="n"/>
      <c r="C135" s="20" t="n"/>
      <c r="D135" s="23">
        <f>IF(C135="","",IFERROR(_xlfn.XLOOKUP(C135,tblInventario[ID del soporte],tblInventario[Tipo],""),""))</f>
        <v/>
      </c>
      <c r="E135" s="20" t="n"/>
      <c r="F135" s="22" t="n"/>
      <c r="G135" s="20" t="n"/>
      <c r="H135" s="21" t="n"/>
      <c r="I135" s="22" t="n"/>
      <c r="J135" s="20" t="n"/>
      <c r="K135" s="21" t="n"/>
      <c r="L135" s="20" t="n"/>
      <c r="M135" s="22" t="n"/>
      <c r="N135" s="20" t="n"/>
      <c r="O135" s="20" t="n"/>
      <c r="P135" s="22" t="n"/>
      <c r="Q135" s="26" t="n"/>
      <c r="R135" s="23">
        <f>IF(A135="","",IF(I135="","Abierto",IF(D135="Tarjeta",IF(OR(L135&lt;&gt;"Sí",N135&lt;&gt;"Sí",O135&lt;&gt;"Sí"),"Pendiente","Cerrado"),IF(D135="Batería","Cerrado","Revisar"))))</f>
        <v/>
      </c>
      <c r="S135" s="25">
        <f>IF(A135="","",IF(B135="","Falta la sesión",IF(C135="","Falta el soporte",IF(D135="","Soporte no encontrado",IF(COUNTIFS(tblControl[ID del soporte],C135,tblControl[Estado del control],"Abierto")&gt;1,"Soporte asignado más de una vez",IF(F135="","Falta la fecha de salida",IF(AND(I135&lt;&gt;"",I135&lt;F135),"La devolución es anterior a la salida",IF(AND(D135="Batería",G135=""),"Falta la carga de salida",IF(AND(D135="Batería",G135&lt;Resumen!$C$3),"Carga de salida inferior al mínimo",IF(AND(D135="Tarjeta",H135=""),"Falta el espacio libre de salida",IF(AND(D135="Tarjeta",I135&lt;&gt;"",L135&lt;&gt;"Sí"),"Descarga pendiente",IF(AND(D135="Tarjeta",L135="Sí",N135&lt;&gt;"Sí"),"Verificación pendiente",IF(AND(D135="Tarjeta",N135="Sí",O135&lt;&gt;"Sí"),"Borrado pendiente",IF(Q135&lt;&gt;"","Revisar incidencia","Correcto"))))))))))))))</f>
        <v/>
      </c>
      <c r="T135" s="20" t="n"/>
    </row>
    <row r="136" ht="22" customHeight="1">
      <c r="A136" s="20" t="n"/>
      <c r="B136" s="20" t="n"/>
      <c r="C136" s="20" t="n"/>
      <c r="D136" s="23">
        <f>IF(C136="","",IFERROR(_xlfn.XLOOKUP(C136,tblInventario[ID del soporte],tblInventario[Tipo],""),""))</f>
        <v/>
      </c>
      <c r="E136" s="20" t="n"/>
      <c r="F136" s="22" t="n"/>
      <c r="G136" s="20" t="n"/>
      <c r="H136" s="21" t="n"/>
      <c r="I136" s="22" t="n"/>
      <c r="J136" s="20" t="n"/>
      <c r="K136" s="21" t="n"/>
      <c r="L136" s="20" t="n"/>
      <c r="M136" s="22" t="n"/>
      <c r="N136" s="20" t="n"/>
      <c r="O136" s="20" t="n"/>
      <c r="P136" s="22" t="n"/>
      <c r="Q136" s="26" t="n"/>
      <c r="R136" s="23">
        <f>IF(A136="","",IF(I136="","Abierto",IF(D136="Tarjeta",IF(OR(L136&lt;&gt;"Sí",N136&lt;&gt;"Sí",O136&lt;&gt;"Sí"),"Pendiente","Cerrado"),IF(D136="Batería","Cerrado","Revisar"))))</f>
        <v/>
      </c>
      <c r="S136" s="25">
        <f>IF(A136="","",IF(B136="","Falta la sesión",IF(C136="","Falta el soporte",IF(D136="","Soporte no encontrado",IF(COUNTIFS(tblControl[ID del soporte],C136,tblControl[Estado del control],"Abierto")&gt;1,"Soporte asignado más de una vez",IF(F136="","Falta la fecha de salida",IF(AND(I136&lt;&gt;"",I136&lt;F136),"La devolución es anterior a la salida",IF(AND(D136="Batería",G136=""),"Falta la carga de salida",IF(AND(D136="Batería",G136&lt;Resumen!$C$3),"Carga de salida inferior al mínimo",IF(AND(D136="Tarjeta",H136=""),"Falta el espacio libre de salida",IF(AND(D136="Tarjeta",I136&lt;&gt;"",L136&lt;&gt;"Sí"),"Descarga pendiente",IF(AND(D136="Tarjeta",L136="Sí",N136&lt;&gt;"Sí"),"Verificación pendiente",IF(AND(D136="Tarjeta",N136="Sí",O136&lt;&gt;"Sí"),"Borrado pendiente",IF(Q136&lt;&gt;"","Revisar incidencia","Correcto"))))))))))))))</f>
        <v/>
      </c>
      <c r="T136" s="20" t="n"/>
    </row>
    <row r="137" ht="22" customHeight="1">
      <c r="A137" s="20" t="n"/>
      <c r="B137" s="20" t="n"/>
      <c r="C137" s="20" t="n"/>
      <c r="D137" s="23">
        <f>IF(C137="","",IFERROR(_xlfn.XLOOKUP(C137,tblInventario[ID del soporte],tblInventario[Tipo],""),""))</f>
        <v/>
      </c>
      <c r="E137" s="20" t="n"/>
      <c r="F137" s="22" t="n"/>
      <c r="G137" s="20" t="n"/>
      <c r="H137" s="21" t="n"/>
      <c r="I137" s="22" t="n"/>
      <c r="J137" s="20" t="n"/>
      <c r="K137" s="21" t="n"/>
      <c r="L137" s="20" t="n"/>
      <c r="M137" s="22" t="n"/>
      <c r="N137" s="20" t="n"/>
      <c r="O137" s="20" t="n"/>
      <c r="P137" s="22" t="n"/>
      <c r="Q137" s="26" t="n"/>
      <c r="R137" s="23">
        <f>IF(A137="","",IF(I137="","Abierto",IF(D137="Tarjeta",IF(OR(L137&lt;&gt;"Sí",N137&lt;&gt;"Sí",O137&lt;&gt;"Sí"),"Pendiente","Cerrado"),IF(D137="Batería","Cerrado","Revisar"))))</f>
        <v/>
      </c>
      <c r="S137" s="25">
        <f>IF(A137="","",IF(B137="","Falta la sesión",IF(C137="","Falta el soporte",IF(D137="","Soporte no encontrado",IF(COUNTIFS(tblControl[ID del soporte],C137,tblControl[Estado del control],"Abierto")&gt;1,"Soporte asignado más de una vez",IF(F137="","Falta la fecha de salida",IF(AND(I137&lt;&gt;"",I137&lt;F137),"La devolución es anterior a la salida",IF(AND(D137="Batería",G137=""),"Falta la carga de salida",IF(AND(D137="Batería",G137&lt;Resumen!$C$3),"Carga de salida inferior al mínimo",IF(AND(D137="Tarjeta",H137=""),"Falta el espacio libre de salida",IF(AND(D137="Tarjeta",I137&lt;&gt;"",L137&lt;&gt;"Sí"),"Descarga pendiente",IF(AND(D137="Tarjeta",L137="Sí",N137&lt;&gt;"Sí"),"Verificación pendiente",IF(AND(D137="Tarjeta",N137="Sí",O137&lt;&gt;"Sí"),"Borrado pendiente",IF(Q137&lt;&gt;"","Revisar incidencia","Correcto"))))))))))))))</f>
        <v/>
      </c>
      <c r="T137" s="20" t="n"/>
    </row>
    <row r="138" ht="22" customHeight="1">
      <c r="A138" s="20" t="n"/>
      <c r="B138" s="20" t="n"/>
      <c r="C138" s="20" t="n"/>
      <c r="D138" s="23">
        <f>IF(C138="","",IFERROR(_xlfn.XLOOKUP(C138,tblInventario[ID del soporte],tblInventario[Tipo],""),""))</f>
        <v/>
      </c>
      <c r="E138" s="20" t="n"/>
      <c r="F138" s="22" t="n"/>
      <c r="G138" s="20" t="n"/>
      <c r="H138" s="21" t="n"/>
      <c r="I138" s="22" t="n"/>
      <c r="J138" s="20" t="n"/>
      <c r="K138" s="21" t="n"/>
      <c r="L138" s="20" t="n"/>
      <c r="M138" s="22" t="n"/>
      <c r="N138" s="20" t="n"/>
      <c r="O138" s="20" t="n"/>
      <c r="P138" s="22" t="n"/>
      <c r="Q138" s="26" t="n"/>
      <c r="R138" s="23">
        <f>IF(A138="","",IF(I138="","Abierto",IF(D138="Tarjeta",IF(OR(L138&lt;&gt;"Sí",N138&lt;&gt;"Sí",O138&lt;&gt;"Sí"),"Pendiente","Cerrado"),IF(D138="Batería","Cerrado","Revisar"))))</f>
        <v/>
      </c>
      <c r="S138" s="25">
        <f>IF(A138="","",IF(B138="","Falta la sesión",IF(C138="","Falta el soporte",IF(D138="","Soporte no encontrado",IF(COUNTIFS(tblControl[ID del soporte],C138,tblControl[Estado del control],"Abierto")&gt;1,"Soporte asignado más de una vez",IF(F138="","Falta la fecha de salida",IF(AND(I138&lt;&gt;"",I138&lt;F138),"La devolución es anterior a la salida",IF(AND(D138="Batería",G138=""),"Falta la carga de salida",IF(AND(D138="Batería",G138&lt;Resumen!$C$3),"Carga de salida inferior al mínimo",IF(AND(D138="Tarjeta",H138=""),"Falta el espacio libre de salida",IF(AND(D138="Tarjeta",I138&lt;&gt;"",L138&lt;&gt;"Sí"),"Descarga pendiente",IF(AND(D138="Tarjeta",L138="Sí",N138&lt;&gt;"Sí"),"Verificación pendiente",IF(AND(D138="Tarjeta",N138="Sí",O138&lt;&gt;"Sí"),"Borrado pendiente",IF(Q138&lt;&gt;"","Revisar incidencia","Correcto"))))))))))))))</f>
        <v/>
      </c>
      <c r="T138" s="20" t="n"/>
    </row>
    <row r="139" ht="22" customHeight="1">
      <c r="A139" s="20" t="n"/>
      <c r="B139" s="20" t="n"/>
      <c r="C139" s="20" t="n"/>
      <c r="D139" s="23">
        <f>IF(C139="","",IFERROR(_xlfn.XLOOKUP(C139,tblInventario[ID del soporte],tblInventario[Tipo],""),""))</f>
        <v/>
      </c>
      <c r="E139" s="20" t="n"/>
      <c r="F139" s="22" t="n"/>
      <c r="G139" s="20" t="n"/>
      <c r="H139" s="21" t="n"/>
      <c r="I139" s="22" t="n"/>
      <c r="J139" s="20" t="n"/>
      <c r="K139" s="21" t="n"/>
      <c r="L139" s="20" t="n"/>
      <c r="M139" s="22" t="n"/>
      <c r="N139" s="20" t="n"/>
      <c r="O139" s="20" t="n"/>
      <c r="P139" s="22" t="n"/>
      <c r="Q139" s="26" t="n"/>
      <c r="R139" s="23">
        <f>IF(A139="","",IF(I139="","Abierto",IF(D139="Tarjeta",IF(OR(L139&lt;&gt;"Sí",N139&lt;&gt;"Sí",O139&lt;&gt;"Sí"),"Pendiente","Cerrado"),IF(D139="Batería","Cerrado","Revisar"))))</f>
        <v/>
      </c>
      <c r="S139" s="25">
        <f>IF(A139="","",IF(B139="","Falta la sesión",IF(C139="","Falta el soporte",IF(D139="","Soporte no encontrado",IF(COUNTIFS(tblControl[ID del soporte],C139,tblControl[Estado del control],"Abierto")&gt;1,"Soporte asignado más de una vez",IF(F139="","Falta la fecha de salida",IF(AND(I139&lt;&gt;"",I139&lt;F139),"La devolución es anterior a la salida",IF(AND(D139="Batería",G139=""),"Falta la carga de salida",IF(AND(D139="Batería",G139&lt;Resumen!$C$3),"Carga de salida inferior al mínimo",IF(AND(D139="Tarjeta",H139=""),"Falta el espacio libre de salida",IF(AND(D139="Tarjeta",I139&lt;&gt;"",L139&lt;&gt;"Sí"),"Descarga pendiente",IF(AND(D139="Tarjeta",L139="Sí",N139&lt;&gt;"Sí"),"Verificación pendiente",IF(AND(D139="Tarjeta",N139="Sí",O139&lt;&gt;"Sí"),"Borrado pendiente",IF(Q139&lt;&gt;"","Revisar incidencia","Correcto"))))))))))))))</f>
        <v/>
      </c>
      <c r="T139" s="20" t="n"/>
    </row>
    <row r="140" ht="22" customHeight="1">
      <c r="A140" s="20" t="n"/>
      <c r="B140" s="20" t="n"/>
      <c r="C140" s="20" t="n"/>
      <c r="D140" s="23">
        <f>IF(C140="","",IFERROR(_xlfn.XLOOKUP(C140,tblInventario[ID del soporte],tblInventario[Tipo],""),""))</f>
        <v/>
      </c>
      <c r="E140" s="20" t="n"/>
      <c r="F140" s="22" t="n"/>
      <c r="G140" s="20" t="n"/>
      <c r="H140" s="21" t="n"/>
      <c r="I140" s="22" t="n"/>
      <c r="J140" s="20" t="n"/>
      <c r="K140" s="21" t="n"/>
      <c r="L140" s="20" t="n"/>
      <c r="M140" s="22" t="n"/>
      <c r="N140" s="20" t="n"/>
      <c r="O140" s="20" t="n"/>
      <c r="P140" s="22" t="n"/>
      <c r="Q140" s="26" t="n"/>
      <c r="R140" s="23">
        <f>IF(A140="","",IF(I140="","Abierto",IF(D140="Tarjeta",IF(OR(L140&lt;&gt;"Sí",N140&lt;&gt;"Sí",O140&lt;&gt;"Sí"),"Pendiente","Cerrado"),IF(D140="Batería","Cerrado","Revisar"))))</f>
        <v/>
      </c>
      <c r="S140" s="25">
        <f>IF(A140="","",IF(B140="","Falta la sesión",IF(C140="","Falta el soporte",IF(D140="","Soporte no encontrado",IF(COUNTIFS(tblControl[ID del soporte],C140,tblControl[Estado del control],"Abierto")&gt;1,"Soporte asignado más de una vez",IF(F140="","Falta la fecha de salida",IF(AND(I140&lt;&gt;"",I140&lt;F140),"La devolución es anterior a la salida",IF(AND(D140="Batería",G140=""),"Falta la carga de salida",IF(AND(D140="Batería",G140&lt;Resumen!$C$3),"Carga de salida inferior al mínimo",IF(AND(D140="Tarjeta",H140=""),"Falta el espacio libre de salida",IF(AND(D140="Tarjeta",I140&lt;&gt;"",L140&lt;&gt;"Sí"),"Descarga pendiente",IF(AND(D140="Tarjeta",L140="Sí",N140&lt;&gt;"Sí"),"Verificación pendiente",IF(AND(D140="Tarjeta",N140="Sí",O140&lt;&gt;"Sí"),"Borrado pendiente",IF(Q140&lt;&gt;"","Revisar incidencia","Correcto"))))))))))))))</f>
        <v/>
      </c>
      <c r="T140" s="20" t="n"/>
    </row>
    <row r="141" ht="22" customHeight="1">
      <c r="A141" s="20" t="n"/>
      <c r="B141" s="20" t="n"/>
      <c r="C141" s="20" t="n"/>
      <c r="D141" s="23">
        <f>IF(C141="","",IFERROR(_xlfn.XLOOKUP(C141,tblInventario[ID del soporte],tblInventario[Tipo],""),""))</f>
        <v/>
      </c>
      <c r="E141" s="20" t="n"/>
      <c r="F141" s="22" t="n"/>
      <c r="G141" s="20" t="n"/>
      <c r="H141" s="21" t="n"/>
      <c r="I141" s="22" t="n"/>
      <c r="J141" s="20" t="n"/>
      <c r="K141" s="21" t="n"/>
      <c r="L141" s="20" t="n"/>
      <c r="M141" s="22" t="n"/>
      <c r="N141" s="20" t="n"/>
      <c r="O141" s="20" t="n"/>
      <c r="P141" s="22" t="n"/>
      <c r="Q141" s="26" t="n"/>
      <c r="R141" s="23">
        <f>IF(A141="","",IF(I141="","Abierto",IF(D141="Tarjeta",IF(OR(L141&lt;&gt;"Sí",N141&lt;&gt;"Sí",O141&lt;&gt;"Sí"),"Pendiente","Cerrado"),IF(D141="Batería","Cerrado","Revisar"))))</f>
        <v/>
      </c>
      <c r="S141" s="25">
        <f>IF(A141="","",IF(B141="","Falta la sesión",IF(C141="","Falta el soporte",IF(D141="","Soporte no encontrado",IF(COUNTIFS(tblControl[ID del soporte],C141,tblControl[Estado del control],"Abierto")&gt;1,"Soporte asignado más de una vez",IF(F141="","Falta la fecha de salida",IF(AND(I141&lt;&gt;"",I141&lt;F141),"La devolución es anterior a la salida",IF(AND(D141="Batería",G141=""),"Falta la carga de salida",IF(AND(D141="Batería",G141&lt;Resumen!$C$3),"Carga de salida inferior al mínimo",IF(AND(D141="Tarjeta",H141=""),"Falta el espacio libre de salida",IF(AND(D141="Tarjeta",I141&lt;&gt;"",L141&lt;&gt;"Sí"),"Descarga pendiente",IF(AND(D141="Tarjeta",L141="Sí",N141&lt;&gt;"Sí"),"Verificación pendiente",IF(AND(D141="Tarjeta",N141="Sí",O141&lt;&gt;"Sí"),"Borrado pendiente",IF(Q141&lt;&gt;"","Revisar incidencia","Correcto"))))))))))))))</f>
        <v/>
      </c>
      <c r="T141" s="20" t="n"/>
    </row>
    <row r="142" ht="22" customHeight="1">
      <c r="A142" s="20" t="n"/>
      <c r="B142" s="20" t="n"/>
      <c r="C142" s="20" t="n"/>
      <c r="D142" s="23">
        <f>IF(C142="","",IFERROR(_xlfn.XLOOKUP(C142,tblInventario[ID del soporte],tblInventario[Tipo],""),""))</f>
        <v/>
      </c>
      <c r="E142" s="20" t="n"/>
      <c r="F142" s="22" t="n"/>
      <c r="G142" s="20" t="n"/>
      <c r="H142" s="21" t="n"/>
      <c r="I142" s="22" t="n"/>
      <c r="J142" s="20" t="n"/>
      <c r="K142" s="21" t="n"/>
      <c r="L142" s="20" t="n"/>
      <c r="M142" s="22" t="n"/>
      <c r="N142" s="20" t="n"/>
      <c r="O142" s="20" t="n"/>
      <c r="P142" s="22" t="n"/>
      <c r="Q142" s="26" t="n"/>
      <c r="R142" s="23">
        <f>IF(A142="","",IF(I142="","Abierto",IF(D142="Tarjeta",IF(OR(L142&lt;&gt;"Sí",N142&lt;&gt;"Sí",O142&lt;&gt;"Sí"),"Pendiente","Cerrado"),IF(D142="Batería","Cerrado","Revisar"))))</f>
        <v/>
      </c>
      <c r="S142" s="25">
        <f>IF(A142="","",IF(B142="","Falta la sesión",IF(C142="","Falta el soporte",IF(D142="","Soporte no encontrado",IF(COUNTIFS(tblControl[ID del soporte],C142,tblControl[Estado del control],"Abierto")&gt;1,"Soporte asignado más de una vez",IF(F142="","Falta la fecha de salida",IF(AND(I142&lt;&gt;"",I142&lt;F142),"La devolución es anterior a la salida",IF(AND(D142="Batería",G142=""),"Falta la carga de salida",IF(AND(D142="Batería",G142&lt;Resumen!$C$3),"Carga de salida inferior al mínimo",IF(AND(D142="Tarjeta",H142=""),"Falta el espacio libre de salida",IF(AND(D142="Tarjeta",I142&lt;&gt;"",L142&lt;&gt;"Sí"),"Descarga pendiente",IF(AND(D142="Tarjeta",L142="Sí",N142&lt;&gt;"Sí"),"Verificación pendiente",IF(AND(D142="Tarjeta",N142="Sí",O142&lt;&gt;"Sí"),"Borrado pendiente",IF(Q142&lt;&gt;"","Revisar incidencia","Correcto"))))))))))))))</f>
        <v/>
      </c>
      <c r="T142" s="20" t="n"/>
    </row>
    <row r="143" ht="22" customHeight="1">
      <c r="A143" s="20" t="n"/>
      <c r="B143" s="20" t="n"/>
      <c r="C143" s="20" t="n"/>
      <c r="D143" s="23">
        <f>IF(C143="","",IFERROR(_xlfn.XLOOKUP(C143,tblInventario[ID del soporte],tblInventario[Tipo],""),""))</f>
        <v/>
      </c>
      <c r="E143" s="20" t="n"/>
      <c r="F143" s="22" t="n"/>
      <c r="G143" s="20" t="n"/>
      <c r="H143" s="21" t="n"/>
      <c r="I143" s="22" t="n"/>
      <c r="J143" s="20" t="n"/>
      <c r="K143" s="21" t="n"/>
      <c r="L143" s="20" t="n"/>
      <c r="M143" s="22" t="n"/>
      <c r="N143" s="20" t="n"/>
      <c r="O143" s="20" t="n"/>
      <c r="P143" s="22" t="n"/>
      <c r="Q143" s="26" t="n"/>
      <c r="R143" s="23">
        <f>IF(A143="","",IF(I143="","Abierto",IF(D143="Tarjeta",IF(OR(L143&lt;&gt;"Sí",N143&lt;&gt;"Sí",O143&lt;&gt;"Sí"),"Pendiente","Cerrado"),IF(D143="Batería","Cerrado","Revisar"))))</f>
        <v/>
      </c>
      <c r="S143" s="25">
        <f>IF(A143="","",IF(B143="","Falta la sesión",IF(C143="","Falta el soporte",IF(D143="","Soporte no encontrado",IF(COUNTIFS(tblControl[ID del soporte],C143,tblControl[Estado del control],"Abierto")&gt;1,"Soporte asignado más de una vez",IF(F143="","Falta la fecha de salida",IF(AND(I143&lt;&gt;"",I143&lt;F143),"La devolución es anterior a la salida",IF(AND(D143="Batería",G143=""),"Falta la carga de salida",IF(AND(D143="Batería",G143&lt;Resumen!$C$3),"Carga de salida inferior al mínimo",IF(AND(D143="Tarjeta",H143=""),"Falta el espacio libre de salida",IF(AND(D143="Tarjeta",I143&lt;&gt;"",L143&lt;&gt;"Sí"),"Descarga pendiente",IF(AND(D143="Tarjeta",L143="Sí",N143&lt;&gt;"Sí"),"Verificación pendiente",IF(AND(D143="Tarjeta",N143="Sí",O143&lt;&gt;"Sí"),"Borrado pendiente",IF(Q143&lt;&gt;"","Revisar incidencia","Correcto"))))))))))))))</f>
        <v/>
      </c>
      <c r="T143" s="20" t="n"/>
    </row>
    <row r="144" ht="22" customHeight="1">
      <c r="A144" s="20" t="n"/>
      <c r="B144" s="20" t="n"/>
      <c r="C144" s="20" t="n"/>
      <c r="D144" s="23">
        <f>IF(C144="","",IFERROR(_xlfn.XLOOKUP(C144,tblInventario[ID del soporte],tblInventario[Tipo],""),""))</f>
        <v/>
      </c>
      <c r="E144" s="20" t="n"/>
      <c r="F144" s="22" t="n"/>
      <c r="G144" s="20" t="n"/>
      <c r="H144" s="21" t="n"/>
      <c r="I144" s="22" t="n"/>
      <c r="J144" s="20" t="n"/>
      <c r="K144" s="21" t="n"/>
      <c r="L144" s="20" t="n"/>
      <c r="M144" s="22" t="n"/>
      <c r="N144" s="20" t="n"/>
      <c r="O144" s="20" t="n"/>
      <c r="P144" s="22" t="n"/>
      <c r="Q144" s="26" t="n"/>
      <c r="R144" s="23">
        <f>IF(A144="","",IF(I144="","Abierto",IF(D144="Tarjeta",IF(OR(L144&lt;&gt;"Sí",N144&lt;&gt;"Sí",O144&lt;&gt;"Sí"),"Pendiente","Cerrado"),IF(D144="Batería","Cerrado","Revisar"))))</f>
        <v/>
      </c>
      <c r="S144" s="25">
        <f>IF(A144="","",IF(B144="","Falta la sesión",IF(C144="","Falta el soporte",IF(D144="","Soporte no encontrado",IF(COUNTIFS(tblControl[ID del soporte],C144,tblControl[Estado del control],"Abierto")&gt;1,"Soporte asignado más de una vez",IF(F144="","Falta la fecha de salida",IF(AND(I144&lt;&gt;"",I144&lt;F144),"La devolución es anterior a la salida",IF(AND(D144="Batería",G144=""),"Falta la carga de salida",IF(AND(D144="Batería",G144&lt;Resumen!$C$3),"Carga de salida inferior al mínimo",IF(AND(D144="Tarjeta",H144=""),"Falta el espacio libre de salida",IF(AND(D144="Tarjeta",I144&lt;&gt;"",L144&lt;&gt;"Sí"),"Descarga pendiente",IF(AND(D144="Tarjeta",L144="Sí",N144&lt;&gt;"Sí"),"Verificación pendiente",IF(AND(D144="Tarjeta",N144="Sí",O144&lt;&gt;"Sí"),"Borrado pendiente",IF(Q144&lt;&gt;"","Revisar incidencia","Correcto"))))))))))))))</f>
        <v/>
      </c>
      <c r="T144" s="20" t="n"/>
    </row>
    <row r="145" ht="22" customHeight="1">
      <c r="A145" s="20" t="n"/>
      <c r="B145" s="20" t="n"/>
      <c r="C145" s="20" t="n"/>
      <c r="D145" s="23">
        <f>IF(C145="","",IFERROR(_xlfn.XLOOKUP(C145,tblInventario[ID del soporte],tblInventario[Tipo],""),""))</f>
        <v/>
      </c>
      <c r="E145" s="20" t="n"/>
      <c r="F145" s="22" t="n"/>
      <c r="G145" s="20" t="n"/>
      <c r="H145" s="21" t="n"/>
      <c r="I145" s="22" t="n"/>
      <c r="J145" s="20" t="n"/>
      <c r="K145" s="21" t="n"/>
      <c r="L145" s="20" t="n"/>
      <c r="M145" s="22" t="n"/>
      <c r="N145" s="20" t="n"/>
      <c r="O145" s="20" t="n"/>
      <c r="P145" s="22" t="n"/>
      <c r="Q145" s="26" t="n"/>
      <c r="R145" s="23">
        <f>IF(A145="","",IF(I145="","Abierto",IF(D145="Tarjeta",IF(OR(L145&lt;&gt;"Sí",N145&lt;&gt;"Sí",O145&lt;&gt;"Sí"),"Pendiente","Cerrado"),IF(D145="Batería","Cerrado","Revisar"))))</f>
        <v/>
      </c>
      <c r="S145" s="25">
        <f>IF(A145="","",IF(B145="","Falta la sesión",IF(C145="","Falta el soporte",IF(D145="","Soporte no encontrado",IF(COUNTIFS(tblControl[ID del soporte],C145,tblControl[Estado del control],"Abierto")&gt;1,"Soporte asignado más de una vez",IF(F145="","Falta la fecha de salida",IF(AND(I145&lt;&gt;"",I145&lt;F145),"La devolución es anterior a la salida",IF(AND(D145="Batería",G145=""),"Falta la carga de salida",IF(AND(D145="Batería",G145&lt;Resumen!$C$3),"Carga de salida inferior al mínimo",IF(AND(D145="Tarjeta",H145=""),"Falta el espacio libre de salida",IF(AND(D145="Tarjeta",I145&lt;&gt;"",L145&lt;&gt;"Sí"),"Descarga pendiente",IF(AND(D145="Tarjeta",L145="Sí",N145&lt;&gt;"Sí"),"Verificación pendiente",IF(AND(D145="Tarjeta",N145="Sí",O145&lt;&gt;"Sí"),"Borrado pendiente",IF(Q145&lt;&gt;"","Revisar incidencia","Correcto"))))))))))))))</f>
        <v/>
      </c>
      <c r="T145" s="20" t="n"/>
    </row>
    <row r="146" ht="22" customHeight="1">
      <c r="A146" s="20" t="n"/>
      <c r="B146" s="20" t="n"/>
      <c r="C146" s="20" t="n"/>
      <c r="D146" s="23">
        <f>IF(C146="","",IFERROR(_xlfn.XLOOKUP(C146,tblInventario[ID del soporte],tblInventario[Tipo],""),""))</f>
        <v/>
      </c>
      <c r="E146" s="20" t="n"/>
      <c r="F146" s="22" t="n"/>
      <c r="G146" s="20" t="n"/>
      <c r="H146" s="21" t="n"/>
      <c r="I146" s="22" t="n"/>
      <c r="J146" s="20" t="n"/>
      <c r="K146" s="21" t="n"/>
      <c r="L146" s="20" t="n"/>
      <c r="M146" s="22" t="n"/>
      <c r="N146" s="20" t="n"/>
      <c r="O146" s="20" t="n"/>
      <c r="P146" s="22" t="n"/>
      <c r="Q146" s="26" t="n"/>
      <c r="R146" s="23">
        <f>IF(A146="","",IF(I146="","Abierto",IF(D146="Tarjeta",IF(OR(L146&lt;&gt;"Sí",N146&lt;&gt;"Sí",O146&lt;&gt;"Sí"),"Pendiente","Cerrado"),IF(D146="Batería","Cerrado","Revisar"))))</f>
        <v/>
      </c>
      <c r="S146" s="25">
        <f>IF(A146="","",IF(B146="","Falta la sesión",IF(C146="","Falta el soporte",IF(D146="","Soporte no encontrado",IF(COUNTIFS(tblControl[ID del soporte],C146,tblControl[Estado del control],"Abierto")&gt;1,"Soporte asignado más de una vez",IF(F146="","Falta la fecha de salida",IF(AND(I146&lt;&gt;"",I146&lt;F146),"La devolución es anterior a la salida",IF(AND(D146="Batería",G146=""),"Falta la carga de salida",IF(AND(D146="Batería",G146&lt;Resumen!$C$3),"Carga de salida inferior al mínimo",IF(AND(D146="Tarjeta",H146=""),"Falta el espacio libre de salida",IF(AND(D146="Tarjeta",I146&lt;&gt;"",L146&lt;&gt;"Sí"),"Descarga pendiente",IF(AND(D146="Tarjeta",L146="Sí",N146&lt;&gt;"Sí"),"Verificación pendiente",IF(AND(D146="Tarjeta",N146="Sí",O146&lt;&gt;"Sí"),"Borrado pendiente",IF(Q146&lt;&gt;"","Revisar incidencia","Correcto"))))))))))))))</f>
        <v/>
      </c>
      <c r="T146" s="20" t="n"/>
    </row>
    <row r="147" ht="22" customHeight="1">
      <c r="A147" s="20" t="n"/>
      <c r="B147" s="20" t="n"/>
      <c r="C147" s="20" t="n"/>
      <c r="D147" s="23">
        <f>IF(C147="","",IFERROR(_xlfn.XLOOKUP(C147,tblInventario[ID del soporte],tblInventario[Tipo],""),""))</f>
        <v/>
      </c>
      <c r="E147" s="20" t="n"/>
      <c r="F147" s="22" t="n"/>
      <c r="G147" s="20" t="n"/>
      <c r="H147" s="21" t="n"/>
      <c r="I147" s="22" t="n"/>
      <c r="J147" s="20" t="n"/>
      <c r="K147" s="21" t="n"/>
      <c r="L147" s="20" t="n"/>
      <c r="M147" s="22" t="n"/>
      <c r="N147" s="20" t="n"/>
      <c r="O147" s="20" t="n"/>
      <c r="P147" s="22" t="n"/>
      <c r="Q147" s="26" t="n"/>
      <c r="R147" s="23">
        <f>IF(A147="","",IF(I147="","Abierto",IF(D147="Tarjeta",IF(OR(L147&lt;&gt;"Sí",N147&lt;&gt;"Sí",O147&lt;&gt;"Sí"),"Pendiente","Cerrado"),IF(D147="Batería","Cerrado","Revisar"))))</f>
        <v/>
      </c>
      <c r="S147" s="25">
        <f>IF(A147="","",IF(B147="","Falta la sesión",IF(C147="","Falta el soporte",IF(D147="","Soporte no encontrado",IF(COUNTIFS(tblControl[ID del soporte],C147,tblControl[Estado del control],"Abierto")&gt;1,"Soporte asignado más de una vez",IF(F147="","Falta la fecha de salida",IF(AND(I147&lt;&gt;"",I147&lt;F147),"La devolución es anterior a la salida",IF(AND(D147="Batería",G147=""),"Falta la carga de salida",IF(AND(D147="Batería",G147&lt;Resumen!$C$3),"Carga de salida inferior al mínimo",IF(AND(D147="Tarjeta",H147=""),"Falta el espacio libre de salida",IF(AND(D147="Tarjeta",I147&lt;&gt;"",L147&lt;&gt;"Sí"),"Descarga pendiente",IF(AND(D147="Tarjeta",L147="Sí",N147&lt;&gt;"Sí"),"Verificación pendiente",IF(AND(D147="Tarjeta",N147="Sí",O147&lt;&gt;"Sí"),"Borrado pendiente",IF(Q147&lt;&gt;"","Revisar incidencia","Correcto"))))))))))))))</f>
        <v/>
      </c>
      <c r="T147" s="20" t="n"/>
    </row>
    <row r="148" ht="22" customHeight="1">
      <c r="A148" s="20" t="n"/>
      <c r="B148" s="20" t="n"/>
      <c r="C148" s="20" t="n"/>
      <c r="D148" s="23">
        <f>IF(C148="","",IFERROR(_xlfn.XLOOKUP(C148,tblInventario[ID del soporte],tblInventario[Tipo],""),""))</f>
        <v/>
      </c>
      <c r="E148" s="20" t="n"/>
      <c r="F148" s="22" t="n"/>
      <c r="G148" s="20" t="n"/>
      <c r="H148" s="21" t="n"/>
      <c r="I148" s="22" t="n"/>
      <c r="J148" s="20" t="n"/>
      <c r="K148" s="21" t="n"/>
      <c r="L148" s="20" t="n"/>
      <c r="M148" s="22" t="n"/>
      <c r="N148" s="20" t="n"/>
      <c r="O148" s="20" t="n"/>
      <c r="P148" s="22" t="n"/>
      <c r="Q148" s="26" t="n"/>
      <c r="R148" s="23">
        <f>IF(A148="","",IF(I148="","Abierto",IF(D148="Tarjeta",IF(OR(L148&lt;&gt;"Sí",N148&lt;&gt;"Sí",O148&lt;&gt;"Sí"),"Pendiente","Cerrado"),IF(D148="Batería","Cerrado","Revisar"))))</f>
        <v/>
      </c>
      <c r="S148" s="25">
        <f>IF(A148="","",IF(B148="","Falta la sesión",IF(C148="","Falta el soporte",IF(D148="","Soporte no encontrado",IF(COUNTIFS(tblControl[ID del soporte],C148,tblControl[Estado del control],"Abierto")&gt;1,"Soporte asignado más de una vez",IF(F148="","Falta la fecha de salida",IF(AND(I148&lt;&gt;"",I148&lt;F148),"La devolución es anterior a la salida",IF(AND(D148="Batería",G148=""),"Falta la carga de salida",IF(AND(D148="Batería",G148&lt;Resumen!$C$3),"Carga de salida inferior al mínimo",IF(AND(D148="Tarjeta",H148=""),"Falta el espacio libre de salida",IF(AND(D148="Tarjeta",I148&lt;&gt;"",L148&lt;&gt;"Sí"),"Descarga pendiente",IF(AND(D148="Tarjeta",L148="Sí",N148&lt;&gt;"Sí"),"Verificación pendiente",IF(AND(D148="Tarjeta",N148="Sí",O148&lt;&gt;"Sí"),"Borrado pendiente",IF(Q148&lt;&gt;"","Revisar incidencia","Correcto"))))))))))))))</f>
        <v/>
      </c>
      <c r="T148" s="20" t="n"/>
    </row>
    <row r="149" ht="22" customHeight="1">
      <c r="A149" s="20" t="n"/>
      <c r="B149" s="20" t="n"/>
      <c r="C149" s="20" t="n"/>
      <c r="D149" s="23">
        <f>IF(C149="","",IFERROR(_xlfn.XLOOKUP(C149,tblInventario[ID del soporte],tblInventario[Tipo],""),""))</f>
        <v/>
      </c>
      <c r="E149" s="20" t="n"/>
      <c r="F149" s="22" t="n"/>
      <c r="G149" s="20" t="n"/>
      <c r="H149" s="21" t="n"/>
      <c r="I149" s="22" t="n"/>
      <c r="J149" s="20" t="n"/>
      <c r="K149" s="21" t="n"/>
      <c r="L149" s="20" t="n"/>
      <c r="M149" s="22" t="n"/>
      <c r="N149" s="20" t="n"/>
      <c r="O149" s="20" t="n"/>
      <c r="P149" s="22" t="n"/>
      <c r="Q149" s="26" t="n"/>
      <c r="R149" s="23">
        <f>IF(A149="","",IF(I149="","Abierto",IF(D149="Tarjeta",IF(OR(L149&lt;&gt;"Sí",N149&lt;&gt;"Sí",O149&lt;&gt;"Sí"),"Pendiente","Cerrado"),IF(D149="Batería","Cerrado","Revisar"))))</f>
        <v/>
      </c>
      <c r="S149" s="25">
        <f>IF(A149="","",IF(B149="","Falta la sesión",IF(C149="","Falta el soporte",IF(D149="","Soporte no encontrado",IF(COUNTIFS(tblControl[ID del soporte],C149,tblControl[Estado del control],"Abierto")&gt;1,"Soporte asignado más de una vez",IF(F149="","Falta la fecha de salida",IF(AND(I149&lt;&gt;"",I149&lt;F149),"La devolución es anterior a la salida",IF(AND(D149="Batería",G149=""),"Falta la carga de salida",IF(AND(D149="Batería",G149&lt;Resumen!$C$3),"Carga de salida inferior al mínimo",IF(AND(D149="Tarjeta",H149=""),"Falta el espacio libre de salida",IF(AND(D149="Tarjeta",I149&lt;&gt;"",L149&lt;&gt;"Sí"),"Descarga pendiente",IF(AND(D149="Tarjeta",L149="Sí",N149&lt;&gt;"Sí"),"Verificación pendiente",IF(AND(D149="Tarjeta",N149="Sí",O149&lt;&gt;"Sí"),"Borrado pendiente",IF(Q149&lt;&gt;"","Revisar incidencia","Correcto"))))))))))))))</f>
        <v/>
      </c>
      <c r="T149" s="20" t="n"/>
    </row>
    <row r="150" ht="22" customHeight="1">
      <c r="A150" s="20" t="n"/>
      <c r="B150" s="20" t="n"/>
      <c r="C150" s="20" t="n"/>
      <c r="D150" s="23">
        <f>IF(C150="","",IFERROR(_xlfn.XLOOKUP(C150,tblInventario[ID del soporte],tblInventario[Tipo],""),""))</f>
        <v/>
      </c>
      <c r="E150" s="20" t="n"/>
      <c r="F150" s="22" t="n"/>
      <c r="G150" s="20" t="n"/>
      <c r="H150" s="21" t="n"/>
      <c r="I150" s="22" t="n"/>
      <c r="J150" s="20" t="n"/>
      <c r="K150" s="21" t="n"/>
      <c r="L150" s="20" t="n"/>
      <c r="M150" s="22" t="n"/>
      <c r="N150" s="20" t="n"/>
      <c r="O150" s="20" t="n"/>
      <c r="P150" s="22" t="n"/>
      <c r="Q150" s="26" t="n"/>
      <c r="R150" s="23">
        <f>IF(A150="","",IF(I150="","Abierto",IF(D150="Tarjeta",IF(OR(L150&lt;&gt;"Sí",N150&lt;&gt;"Sí",O150&lt;&gt;"Sí"),"Pendiente","Cerrado"),IF(D150="Batería","Cerrado","Revisar"))))</f>
        <v/>
      </c>
      <c r="S150" s="25">
        <f>IF(A150="","",IF(B150="","Falta la sesión",IF(C150="","Falta el soporte",IF(D150="","Soporte no encontrado",IF(COUNTIFS(tblControl[ID del soporte],C150,tblControl[Estado del control],"Abierto")&gt;1,"Soporte asignado más de una vez",IF(F150="","Falta la fecha de salida",IF(AND(I150&lt;&gt;"",I150&lt;F150),"La devolución es anterior a la salida",IF(AND(D150="Batería",G150=""),"Falta la carga de salida",IF(AND(D150="Batería",G150&lt;Resumen!$C$3),"Carga de salida inferior al mínimo",IF(AND(D150="Tarjeta",H150=""),"Falta el espacio libre de salida",IF(AND(D150="Tarjeta",I150&lt;&gt;"",L150&lt;&gt;"Sí"),"Descarga pendiente",IF(AND(D150="Tarjeta",L150="Sí",N150&lt;&gt;"Sí"),"Verificación pendiente",IF(AND(D150="Tarjeta",N150="Sí",O150&lt;&gt;"Sí"),"Borrado pendiente",IF(Q150&lt;&gt;"","Revisar incidencia","Correcto"))))))))))))))</f>
        <v/>
      </c>
      <c r="T150" s="20" t="n"/>
    </row>
    <row r="151" ht="22" customHeight="1">
      <c r="A151" s="20" t="n"/>
      <c r="B151" s="20" t="n"/>
      <c r="C151" s="20" t="n"/>
      <c r="D151" s="23">
        <f>IF(C151="","",IFERROR(_xlfn.XLOOKUP(C151,tblInventario[ID del soporte],tblInventario[Tipo],""),""))</f>
        <v/>
      </c>
      <c r="E151" s="20" t="n"/>
      <c r="F151" s="22" t="n"/>
      <c r="G151" s="20" t="n"/>
      <c r="H151" s="21" t="n"/>
      <c r="I151" s="22" t="n"/>
      <c r="J151" s="20" t="n"/>
      <c r="K151" s="21" t="n"/>
      <c r="L151" s="20" t="n"/>
      <c r="M151" s="22" t="n"/>
      <c r="N151" s="20" t="n"/>
      <c r="O151" s="20" t="n"/>
      <c r="P151" s="22" t="n"/>
      <c r="Q151" s="26" t="n"/>
      <c r="R151" s="23">
        <f>IF(A151="","",IF(I151="","Abierto",IF(D151="Tarjeta",IF(OR(L151&lt;&gt;"Sí",N151&lt;&gt;"Sí",O151&lt;&gt;"Sí"),"Pendiente","Cerrado"),IF(D151="Batería","Cerrado","Revisar"))))</f>
        <v/>
      </c>
      <c r="S151" s="25">
        <f>IF(A151="","",IF(B151="","Falta la sesión",IF(C151="","Falta el soporte",IF(D151="","Soporte no encontrado",IF(COUNTIFS(tblControl[ID del soporte],C151,tblControl[Estado del control],"Abierto")&gt;1,"Soporte asignado más de una vez",IF(F151="","Falta la fecha de salida",IF(AND(I151&lt;&gt;"",I151&lt;F151),"La devolución es anterior a la salida",IF(AND(D151="Batería",G151=""),"Falta la carga de salida",IF(AND(D151="Batería",G151&lt;Resumen!$C$3),"Carga de salida inferior al mínimo",IF(AND(D151="Tarjeta",H151=""),"Falta el espacio libre de salida",IF(AND(D151="Tarjeta",I151&lt;&gt;"",L151&lt;&gt;"Sí"),"Descarga pendiente",IF(AND(D151="Tarjeta",L151="Sí",N151&lt;&gt;"Sí"),"Verificación pendiente",IF(AND(D151="Tarjeta",N151="Sí",O151&lt;&gt;"Sí"),"Borrado pendiente",IF(Q151&lt;&gt;"","Revisar incidencia","Correcto"))))))))))))))</f>
        <v/>
      </c>
      <c r="T151" s="20" t="n"/>
    </row>
    <row r="152" ht="22" customHeight="1">
      <c r="A152" s="20" t="n"/>
      <c r="B152" s="20" t="n"/>
      <c r="C152" s="20" t="n"/>
      <c r="D152" s="23">
        <f>IF(C152="","",IFERROR(_xlfn.XLOOKUP(C152,tblInventario[ID del soporte],tblInventario[Tipo],""),""))</f>
        <v/>
      </c>
      <c r="E152" s="20" t="n"/>
      <c r="F152" s="22" t="n"/>
      <c r="G152" s="20" t="n"/>
      <c r="H152" s="21" t="n"/>
      <c r="I152" s="22" t="n"/>
      <c r="J152" s="20" t="n"/>
      <c r="K152" s="21" t="n"/>
      <c r="L152" s="20" t="n"/>
      <c r="M152" s="22" t="n"/>
      <c r="N152" s="20" t="n"/>
      <c r="O152" s="20" t="n"/>
      <c r="P152" s="22" t="n"/>
      <c r="Q152" s="26" t="n"/>
      <c r="R152" s="23">
        <f>IF(A152="","",IF(I152="","Abierto",IF(D152="Tarjeta",IF(OR(L152&lt;&gt;"Sí",N152&lt;&gt;"Sí",O152&lt;&gt;"Sí"),"Pendiente","Cerrado"),IF(D152="Batería","Cerrado","Revisar"))))</f>
        <v/>
      </c>
      <c r="S152" s="25">
        <f>IF(A152="","",IF(B152="","Falta la sesión",IF(C152="","Falta el soporte",IF(D152="","Soporte no encontrado",IF(COUNTIFS(tblControl[ID del soporte],C152,tblControl[Estado del control],"Abierto")&gt;1,"Soporte asignado más de una vez",IF(F152="","Falta la fecha de salida",IF(AND(I152&lt;&gt;"",I152&lt;F152),"La devolución es anterior a la salida",IF(AND(D152="Batería",G152=""),"Falta la carga de salida",IF(AND(D152="Batería",G152&lt;Resumen!$C$3),"Carga de salida inferior al mínimo",IF(AND(D152="Tarjeta",H152=""),"Falta el espacio libre de salida",IF(AND(D152="Tarjeta",I152&lt;&gt;"",L152&lt;&gt;"Sí"),"Descarga pendiente",IF(AND(D152="Tarjeta",L152="Sí",N152&lt;&gt;"Sí"),"Verificación pendiente",IF(AND(D152="Tarjeta",N152="Sí",O152&lt;&gt;"Sí"),"Borrado pendiente",IF(Q152&lt;&gt;"","Revisar incidencia","Correcto"))))))))))))))</f>
        <v/>
      </c>
      <c r="T152" s="20" t="n"/>
    </row>
    <row r="153" ht="22" customHeight="1">
      <c r="A153" s="20" t="n"/>
      <c r="B153" s="20" t="n"/>
      <c r="C153" s="20" t="n"/>
      <c r="D153" s="23">
        <f>IF(C153="","",IFERROR(_xlfn.XLOOKUP(C153,tblInventario[ID del soporte],tblInventario[Tipo],""),""))</f>
        <v/>
      </c>
      <c r="E153" s="20" t="n"/>
      <c r="F153" s="22" t="n"/>
      <c r="G153" s="20" t="n"/>
      <c r="H153" s="21" t="n"/>
      <c r="I153" s="22" t="n"/>
      <c r="J153" s="20" t="n"/>
      <c r="K153" s="21" t="n"/>
      <c r="L153" s="20" t="n"/>
      <c r="M153" s="22" t="n"/>
      <c r="N153" s="20" t="n"/>
      <c r="O153" s="20" t="n"/>
      <c r="P153" s="22" t="n"/>
      <c r="Q153" s="26" t="n"/>
      <c r="R153" s="23">
        <f>IF(A153="","",IF(I153="","Abierto",IF(D153="Tarjeta",IF(OR(L153&lt;&gt;"Sí",N153&lt;&gt;"Sí",O153&lt;&gt;"Sí"),"Pendiente","Cerrado"),IF(D153="Batería","Cerrado","Revisar"))))</f>
        <v/>
      </c>
      <c r="S153" s="25">
        <f>IF(A153="","",IF(B153="","Falta la sesión",IF(C153="","Falta el soporte",IF(D153="","Soporte no encontrado",IF(COUNTIFS(tblControl[ID del soporte],C153,tblControl[Estado del control],"Abierto")&gt;1,"Soporte asignado más de una vez",IF(F153="","Falta la fecha de salida",IF(AND(I153&lt;&gt;"",I153&lt;F153),"La devolución es anterior a la salida",IF(AND(D153="Batería",G153=""),"Falta la carga de salida",IF(AND(D153="Batería",G153&lt;Resumen!$C$3),"Carga de salida inferior al mínimo",IF(AND(D153="Tarjeta",H153=""),"Falta el espacio libre de salida",IF(AND(D153="Tarjeta",I153&lt;&gt;"",L153&lt;&gt;"Sí"),"Descarga pendiente",IF(AND(D153="Tarjeta",L153="Sí",N153&lt;&gt;"Sí"),"Verificación pendiente",IF(AND(D153="Tarjeta",N153="Sí",O153&lt;&gt;"Sí"),"Borrado pendiente",IF(Q153&lt;&gt;"","Revisar incidencia","Correcto"))))))))))))))</f>
        <v/>
      </c>
      <c r="T153" s="20" t="n"/>
    </row>
    <row r="154" ht="22" customHeight="1">
      <c r="A154" s="20" t="n"/>
      <c r="B154" s="20" t="n"/>
      <c r="C154" s="20" t="n"/>
      <c r="D154" s="23">
        <f>IF(C154="","",IFERROR(_xlfn.XLOOKUP(C154,tblInventario[ID del soporte],tblInventario[Tipo],""),""))</f>
        <v/>
      </c>
      <c r="E154" s="20" t="n"/>
      <c r="F154" s="22" t="n"/>
      <c r="G154" s="20" t="n"/>
      <c r="H154" s="21" t="n"/>
      <c r="I154" s="22" t="n"/>
      <c r="J154" s="20" t="n"/>
      <c r="K154" s="21" t="n"/>
      <c r="L154" s="20" t="n"/>
      <c r="M154" s="22" t="n"/>
      <c r="N154" s="20" t="n"/>
      <c r="O154" s="20" t="n"/>
      <c r="P154" s="22" t="n"/>
      <c r="Q154" s="26" t="n"/>
      <c r="R154" s="23">
        <f>IF(A154="","",IF(I154="","Abierto",IF(D154="Tarjeta",IF(OR(L154&lt;&gt;"Sí",N154&lt;&gt;"Sí",O154&lt;&gt;"Sí"),"Pendiente","Cerrado"),IF(D154="Batería","Cerrado","Revisar"))))</f>
        <v/>
      </c>
      <c r="S154" s="25">
        <f>IF(A154="","",IF(B154="","Falta la sesión",IF(C154="","Falta el soporte",IF(D154="","Soporte no encontrado",IF(COUNTIFS(tblControl[ID del soporte],C154,tblControl[Estado del control],"Abierto")&gt;1,"Soporte asignado más de una vez",IF(F154="","Falta la fecha de salida",IF(AND(I154&lt;&gt;"",I154&lt;F154),"La devolución es anterior a la salida",IF(AND(D154="Batería",G154=""),"Falta la carga de salida",IF(AND(D154="Batería",G154&lt;Resumen!$C$3),"Carga de salida inferior al mínimo",IF(AND(D154="Tarjeta",H154=""),"Falta el espacio libre de salida",IF(AND(D154="Tarjeta",I154&lt;&gt;"",L154&lt;&gt;"Sí"),"Descarga pendiente",IF(AND(D154="Tarjeta",L154="Sí",N154&lt;&gt;"Sí"),"Verificación pendiente",IF(AND(D154="Tarjeta",N154="Sí",O154&lt;&gt;"Sí"),"Borrado pendiente",IF(Q154&lt;&gt;"","Revisar incidencia","Correcto"))))))))))))))</f>
        <v/>
      </c>
      <c r="T154" s="20" t="n"/>
    </row>
    <row r="155" ht="22" customHeight="1">
      <c r="A155" s="20" t="n"/>
      <c r="B155" s="20" t="n"/>
      <c r="C155" s="20" t="n"/>
      <c r="D155" s="23">
        <f>IF(C155="","",IFERROR(_xlfn.XLOOKUP(C155,tblInventario[ID del soporte],tblInventario[Tipo],""),""))</f>
        <v/>
      </c>
      <c r="E155" s="20" t="n"/>
      <c r="F155" s="22" t="n"/>
      <c r="G155" s="20" t="n"/>
      <c r="H155" s="21" t="n"/>
      <c r="I155" s="22" t="n"/>
      <c r="J155" s="20" t="n"/>
      <c r="K155" s="21" t="n"/>
      <c r="L155" s="20" t="n"/>
      <c r="M155" s="22" t="n"/>
      <c r="N155" s="20" t="n"/>
      <c r="O155" s="20" t="n"/>
      <c r="P155" s="22" t="n"/>
      <c r="Q155" s="26" t="n"/>
      <c r="R155" s="23">
        <f>IF(A155="","",IF(I155="","Abierto",IF(D155="Tarjeta",IF(OR(L155&lt;&gt;"Sí",N155&lt;&gt;"Sí",O155&lt;&gt;"Sí"),"Pendiente","Cerrado"),IF(D155="Batería","Cerrado","Revisar"))))</f>
        <v/>
      </c>
      <c r="S155" s="25">
        <f>IF(A155="","",IF(B155="","Falta la sesión",IF(C155="","Falta el soporte",IF(D155="","Soporte no encontrado",IF(COUNTIFS(tblControl[ID del soporte],C155,tblControl[Estado del control],"Abierto")&gt;1,"Soporte asignado más de una vez",IF(F155="","Falta la fecha de salida",IF(AND(I155&lt;&gt;"",I155&lt;F155),"La devolución es anterior a la salida",IF(AND(D155="Batería",G155=""),"Falta la carga de salida",IF(AND(D155="Batería",G155&lt;Resumen!$C$3),"Carga de salida inferior al mínimo",IF(AND(D155="Tarjeta",H155=""),"Falta el espacio libre de salida",IF(AND(D155="Tarjeta",I155&lt;&gt;"",L155&lt;&gt;"Sí"),"Descarga pendiente",IF(AND(D155="Tarjeta",L155="Sí",N155&lt;&gt;"Sí"),"Verificación pendiente",IF(AND(D155="Tarjeta",N155="Sí",O155&lt;&gt;"Sí"),"Borrado pendiente",IF(Q155&lt;&gt;"","Revisar incidencia","Correcto"))))))))))))))</f>
        <v/>
      </c>
      <c r="T155" s="20" t="n"/>
    </row>
    <row r="156" ht="22" customHeight="1">
      <c r="A156" s="20" t="n"/>
      <c r="B156" s="20" t="n"/>
      <c r="C156" s="20" t="n"/>
      <c r="D156" s="23">
        <f>IF(C156="","",IFERROR(_xlfn.XLOOKUP(C156,tblInventario[ID del soporte],tblInventario[Tipo],""),""))</f>
        <v/>
      </c>
      <c r="E156" s="20" t="n"/>
      <c r="F156" s="22" t="n"/>
      <c r="G156" s="20" t="n"/>
      <c r="H156" s="21" t="n"/>
      <c r="I156" s="22" t="n"/>
      <c r="J156" s="20" t="n"/>
      <c r="K156" s="21" t="n"/>
      <c r="L156" s="20" t="n"/>
      <c r="M156" s="22" t="n"/>
      <c r="N156" s="20" t="n"/>
      <c r="O156" s="20" t="n"/>
      <c r="P156" s="22" t="n"/>
      <c r="Q156" s="26" t="n"/>
      <c r="R156" s="23">
        <f>IF(A156="","",IF(I156="","Abierto",IF(D156="Tarjeta",IF(OR(L156&lt;&gt;"Sí",N156&lt;&gt;"Sí",O156&lt;&gt;"Sí"),"Pendiente","Cerrado"),IF(D156="Batería","Cerrado","Revisar"))))</f>
        <v/>
      </c>
      <c r="S156" s="25">
        <f>IF(A156="","",IF(B156="","Falta la sesión",IF(C156="","Falta el soporte",IF(D156="","Soporte no encontrado",IF(COUNTIFS(tblControl[ID del soporte],C156,tblControl[Estado del control],"Abierto")&gt;1,"Soporte asignado más de una vez",IF(F156="","Falta la fecha de salida",IF(AND(I156&lt;&gt;"",I156&lt;F156),"La devolución es anterior a la salida",IF(AND(D156="Batería",G156=""),"Falta la carga de salida",IF(AND(D156="Batería",G156&lt;Resumen!$C$3),"Carga de salida inferior al mínimo",IF(AND(D156="Tarjeta",H156=""),"Falta el espacio libre de salida",IF(AND(D156="Tarjeta",I156&lt;&gt;"",L156&lt;&gt;"Sí"),"Descarga pendiente",IF(AND(D156="Tarjeta",L156="Sí",N156&lt;&gt;"Sí"),"Verificación pendiente",IF(AND(D156="Tarjeta",N156="Sí",O156&lt;&gt;"Sí"),"Borrado pendiente",IF(Q156&lt;&gt;"","Revisar incidencia","Correcto"))))))))))))))</f>
        <v/>
      </c>
      <c r="T156" s="20" t="n"/>
    </row>
    <row r="157" ht="22" customHeight="1">
      <c r="A157" s="20" t="n"/>
      <c r="B157" s="20" t="n"/>
      <c r="C157" s="20" t="n"/>
      <c r="D157" s="23">
        <f>IF(C157="","",IFERROR(_xlfn.XLOOKUP(C157,tblInventario[ID del soporte],tblInventario[Tipo],""),""))</f>
        <v/>
      </c>
      <c r="E157" s="20" t="n"/>
      <c r="F157" s="22" t="n"/>
      <c r="G157" s="20" t="n"/>
      <c r="H157" s="21" t="n"/>
      <c r="I157" s="22" t="n"/>
      <c r="J157" s="20" t="n"/>
      <c r="K157" s="21" t="n"/>
      <c r="L157" s="20" t="n"/>
      <c r="M157" s="22" t="n"/>
      <c r="N157" s="20" t="n"/>
      <c r="O157" s="20" t="n"/>
      <c r="P157" s="22" t="n"/>
      <c r="Q157" s="26" t="n"/>
      <c r="R157" s="23">
        <f>IF(A157="","",IF(I157="","Abierto",IF(D157="Tarjeta",IF(OR(L157&lt;&gt;"Sí",N157&lt;&gt;"Sí",O157&lt;&gt;"Sí"),"Pendiente","Cerrado"),IF(D157="Batería","Cerrado","Revisar"))))</f>
        <v/>
      </c>
      <c r="S157" s="25">
        <f>IF(A157="","",IF(B157="","Falta la sesión",IF(C157="","Falta el soporte",IF(D157="","Soporte no encontrado",IF(COUNTIFS(tblControl[ID del soporte],C157,tblControl[Estado del control],"Abierto")&gt;1,"Soporte asignado más de una vez",IF(F157="","Falta la fecha de salida",IF(AND(I157&lt;&gt;"",I157&lt;F157),"La devolución es anterior a la salida",IF(AND(D157="Batería",G157=""),"Falta la carga de salida",IF(AND(D157="Batería",G157&lt;Resumen!$C$3),"Carga de salida inferior al mínimo",IF(AND(D157="Tarjeta",H157=""),"Falta el espacio libre de salida",IF(AND(D157="Tarjeta",I157&lt;&gt;"",L157&lt;&gt;"Sí"),"Descarga pendiente",IF(AND(D157="Tarjeta",L157="Sí",N157&lt;&gt;"Sí"),"Verificación pendiente",IF(AND(D157="Tarjeta",N157="Sí",O157&lt;&gt;"Sí"),"Borrado pendiente",IF(Q157&lt;&gt;"","Revisar incidencia","Correcto"))))))))))))))</f>
        <v/>
      </c>
      <c r="T157" s="20" t="n"/>
    </row>
    <row r="158" ht="22" customHeight="1">
      <c r="A158" s="20" t="n"/>
      <c r="B158" s="20" t="n"/>
      <c r="C158" s="20" t="n"/>
      <c r="D158" s="23">
        <f>IF(C158="","",IFERROR(_xlfn.XLOOKUP(C158,tblInventario[ID del soporte],tblInventario[Tipo],""),""))</f>
        <v/>
      </c>
      <c r="E158" s="20" t="n"/>
      <c r="F158" s="22" t="n"/>
      <c r="G158" s="20" t="n"/>
      <c r="H158" s="21" t="n"/>
      <c r="I158" s="22" t="n"/>
      <c r="J158" s="20" t="n"/>
      <c r="K158" s="21" t="n"/>
      <c r="L158" s="20" t="n"/>
      <c r="M158" s="22" t="n"/>
      <c r="N158" s="20" t="n"/>
      <c r="O158" s="20" t="n"/>
      <c r="P158" s="22" t="n"/>
      <c r="Q158" s="26" t="n"/>
      <c r="R158" s="23">
        <f>IF(A158="","",IF(I158="","Abierto",IF(D158="Tarjeta",IF(OR(L158&lt;&gt;"Sí",N158&lt;&gt;"Sí",O158&lt;&gt;"Sí"),"Pendiente","Cerrado"),IF(D158="Batería","Cerrado","Revisar"))))</f>
        <v/>
      </c>
      <c r="S158" s="25">
        <f>IF(A158="","",IF(B158="","Falta la sesión",IF(C158="","Falta el soporte",IF(D158="","Soporte no encontrado",IF(COUNTIFS(tblControl[ID del soporte],C158,tblControl[Estado del control],"Abierto")&gt;1,"Soporte asignado más de una vez",IF(F158="","Falta la fecha de salida",IF(AND(I158&lt;&gt;"",I158&lt;F158),"La devolución es anterior a la salida",IF(AND(D158="Batería",G158=""),"Falta la carga de salida",IF(AND(D158="Batería",G158&lt;Resumen!$C$3),"Carga de salida inferior al mínimo",IF(AND(D158="Tarjeta",H158=""),"Falta el espacio libre de salida",IF(AND(D158="Tarjeta",I158&lt;&gt;"",L158&lt;&gt;"Sí"),"Descarga pendiente",IF(AND(D158="Tarjeta",L158="Sí",N158&lt;&gt;"Sí"),"Verificación pendiente",IF(AND(D158="Tarjeta",N158="Sí",O158&lt;&gt;"Sí"),"Borrado pendiente",IF(Q158&lt;&gt;"","Revisar incidencia","Correcto"))))))))))))))</f>
        <v/>
      </c>
      <c r="T158" s="20" t="n"/>
    </row>
    <row r="159" ht="22" customHeight="1">
      <c r="A159" s="20" t="n"/>
      <c r="B159" s="20" t="n"/>
      <c r="C159" s="20" t="n"/>
      <c r="D159" s="23">
        <f>IF(C159="","",IFERROR(_xlfn.XLOOKUP(C159,tblInventario[ID del soporte],tblInventario[Tipo],""),""))</f>
        <v/>
      </c>
      <c r="E159" s="20" t="n"/>
      <c r="F159" s="22" t="n"/>
      <c r="G159" s="20" t="n"/>
      <c r="H159" s="21" t="n"/>
      <c r="I159" s="22" t="n"/>
      <c r="J159" s="20" t="n"/>
      <c r="K159" s="21" t="n"/>
      <c r="L159" s="20" t="n"/>
      <c r="M159" s="22" t="n"/>
      <c r="N159" s="20" t="n"/>
      <c r="O159" s="20" t="n"/>
      <c r="P159" s="22" t="n"/>
      <c r="Q159" s="26" t="n"/>
      <c r="R159" s="23">
        <f>IF(A159="","",IF(I159="","Abierto",IF(D159="Tarjeta",IF(OR(L159&lt;&gt;"Sí",N159&lt;&gt;"Sí",O159&lt;&gt;"Sí"),"Pendiente","Cerrado"),IF(D159="Batería","Cerrado","Revisar"))))</f>
        <v/>
      </c>
      <c r="S159" s="25">
        <f>IF(A159="","",IF(B159="","Falta la sesión",IF(C159="","Falta el soporte",IF(D159="","Soporte no encontrado",IF(COUNTIFS(tblControl[ID del soporte],C159,tblControl[Estado del control],"Abierto")&gt;1,"Soporte asignado más de una vez",IF(F159="","Falta la fecha de salida",IF(AND(I159&lt;&gt;"",I159&lt;F159),"La devolución es anterior a la salida",IF(AND(D159="Batería",G159=""),"Falta la carga de salida",IF(AND(D159="Batería",G159&lt;Resumen!$C$3),"Carga de salida inferior al mínimo",IF(AND(D159="Tarjeta",H159=""),"Falta el espacio libre de salida",IF(AND(D159="Tarjeta",I159&lt;&gt;"",L159&lt;&gt;"Sí"),"Descarga pendiente",IF(AND(D159="Tarjeta",L159="Sí",N159&lt;&gt;"Sí"),"Verificación pendiente",IF(AND(D159="Tarjeta",N159="Sí",O159&lt;&gt;"Sí"),"Borrado pendiente",IF(Q159&lt;&gt;"","Revisar incidencia","Correcto"))))))))))))))</f>
        <v/>
      </c>
      <c r="T159" s="20" t="n"/>
    </row>
    <row r="160" ht="22" customHeight="1">
      <c r="A160" s="20" t="n"/>
      <c r="B160" s="20" t="n"/>
      <c r="C160" s="20" t="n"/>
      <c r="D160" s="23">
        <f>IF(C160="","",IFERROR(_xlfn.XLOOKUP(C160,tblInventario[ID del soporte],tblInventario[Tipo],""),""))</f>
        <v/>
      </c>
      <c r="E160" s="20" t="n"/>
      <c r="F160" s="22" t="n"/>
      <c r="G160" s="20" t="n"/>
      <c r="H160" s="21" t="n"/>
      <c r="I160" s="22" t="n"/>
      <c r="J160" s="20" t="n"/>
      <c r="K160" s="21" t="n"/>
      <c r="L160" s="20" t="n"/>
      <c r="M160" s="22" t="n"/>
      <c r="N160" s="20" t="n"/>
      <c r="O160" s="20" t="n"/>
      <c r="P160" s="22" t="n"/>
      <c r="Q160" s="26" t="n"/>
      <c r="R160" s="23">
        <f>IF(A160="","",IF(I160="","Abierto",IF(D160="Tarjeta",IF(OR(L160&lt;&gt;"Sí",N160&lt;&gt;"Sí",O160&lt;&gt;"Sí"),"Pendiente","Cerrado"),IF(D160="Batería","Cerrado","Revisar"))))</f>
        <v/>
      </c>
      <c r="S160" s="25">
        <f>IF(A160="","",IF(B160="","Falta la sesión",IF(C160="","Falta el soporte",IF(D160="","Soporte no encontrado",IF(COUNTIFS(tblControl[ID del soporte],C160,tblControl[Estado del control],"Abierto")&gt;1,"Soporte asignado más de una vez",IF(F160="","Falta la fecha de salida",IF(AND(I160&lt;&gt;"",I160&lt;F160),"La devolución es anterior a la salida",IF(AND(D160="Batería",G160=""),"Falta la carga de salida",IF(AND(D160="Batería",G160&lt;Resumen!$C$3),"Carga de salida inferior al mínimo",IF(AND(D160="Tarjeta",H160=""),"Falta el espacio libre de salida",IF(AND(D160="Tarjeta",I160&lt;&gt;"",L160&lt;&gt;"Sí"),"Descarga pendiente",IF(AND(D160="Tarjeta",L160="Sí",N160&lt;&gt;"Sí"),"Verificación pendiente",IF(AND(D160="Tarjeta",N160="Sí",O160&lt;&gt;"Sí"),"Borrado pendiente",IF(Q160&lt;&gt;"","Revisar incidencia","Correcto"))))))))))))))</f>
        <v/>
      </c>
      <c r="T160" s="20" t="n"/>
    </row>
    <row r="161" ht="22" customHeight="1">
      <c r="A161" s="20" t="n"/>
      <c r="B161" s="20" t="n"/>
      <c r="C161" s="20" t="n"/>
      <c r="D161" s="23">
        <f>IF(C161="","",IFERROR(_xlfn.XLOOKUP(C161,tblInventario[ID del soporte],tblInventario[Tipo],""),""))</f>
        <v/>
      </c>
      <c r="E161" s="20" t="n"/>
      <c r="F161" s="22" t="n"/>
      <c r="G161" s="20" t="n"/>
      <c r="H161" s="21" t="n"/>
      <c r="I161" s="22" t="n"/>
      <c r="J161" s="20" t="n"/>
      <c r="K161" s="21" t="n"/>
      <c r="L161" s="20" t="n"/>
      <c r="M161" s="22" t="n"/>
      <c r="N161" s="20" t="n"/>
      <c r="O161" s="20" t="n"/>
      <c r="P161" s="22" t="n"/>
      <c r="Q161" s="26" t="n"/>
      <c r="R161" s="23">
        <f>IF(A161="","",IF(I161="","Abierto",IF(D161="Tarjeta",IF(OR(L161&lt;&gt;"Sí",N161&lt;&gt;"Sí",O161&lt;&gt;"Sí"),"Pendiente","Cerrado"),IF(D161="Batería","Cerrado","Revisar"))))</f>
        <v/>
      </c>
      <c r="S161" s="25">
        <f>IF(A161="","",IF(B161="","Falta la sesión",IF(C161="","Falta el soporte",IF(D161="","Soporte no encontrado",IF(COUNTIFS(tblControl[ID del soporte],C161,tblControl[Estado del control],"Abierto")&gt;1,"Soporte asignado más de una vez",IF(F161="","Falta la fecha de salida",IF(AND(I161&lt;&gt;"",I161&lt;F161),"La devolución es anterior a la salida",IF(AND(D161="Batería",G161=""),"Falta la carga de salida",IF(AND(D161="Batería",G161&lt;Resumen!$C$3),"Carga de salida inferior al mínimo",IF(AND(D161="Tarjeta",H161=""),"Falta el espacio libre de salida",IF(AND(D161="Tarjeta",I161&lt;&gt;"",L161&lt;&gt;"Sí"),"Descarga pendiente",IF(AND(D161="Tarjeta",L161="Sí",N161&lt;&gt;"Sí"),"Verificación pendiente",IF(AND(D161="Tarjeta",N161="Sí",O161&lt;&gt;"Sí"),"Borrado pendiente",IF(Q161&lt;&gt;"","Revisar incidencia","Correcto"))))))))))))))</f>
        <v/>
      </c>
      <c r="T161" s="20" t="n"/>
    </row>
    <row r="162" ht="22" customHeight="1">
      <c r="A162" s="20" t="n"/>
      <c r="B162" s="20" t="n"/>
      <c r="C162" s="20" t="n"/>
      <c r="D162" s="23">
        <f>IF(C162="","",IFERROR(_xlfn.XLOOKUP(C162,tblInventario[ID del soporte],tblInventario[Tipo],""),""))</f>
        <v/>
      </c>
      <c r="E162" s="20" t="n"/>
      <c r="F162" s="22" t="n"/>
      <c r="G162" s="20" t="n"/>
      <c r="H162" s="21" t="n"/>
      <c r="I162" s="22" t="n"/>
      <c r="J162" s="20" t="n"/>
      <c r="K162" s="21" t="n"/>
      <c r="L162" s="20" t="n"/>
      <c r="M162" s="22" t="n"/>
      <c r="N162" s="20" t="n"/>
      <c r="O162" s="20" t="n"/>
      <c r="P162" s="22" t="n"/>
      <c r="Q162" s="26" t="n"/>
      <c r="R162" s="23">
        <f>IF(A162="","",IF(I162="","Abierto",IF(D162="Tarjeta",IF(OR(L162&lt;&gt;"Sí",N162&lt;&gt;"Sí",O162&lt;&gt;"Sí"),"Pendiente","Cerrado"),IF(D162="Batería","Cerrado","Revisar"))))</f>
        <v/>
      </c>
      <c r="S162" s="25">
        <f>IF(A162="","",IF(B162="","Falta la sesión",IF(C162="","Falta el soporte",IF(D162="","Soporte no encontrado",IF(COUNTIFS(tblControl[ID del soporte],C162,tblControl[Estado del control],"Abierto")&gt;1,"Soporte asignado más de una vez",IF(F162="","Falta la fecha de salida",IF(AND(I162&lt;&gt;"",I162&lt;F162),"La devolución es anterior a la salida",IF(AND(D162="Batería",G162=""),"Falta la carga de salida",IF(AND(D162="Batería",G162&lt;Resumen!$C$3),"Carga de salida inferior al mínimo",IF(AND(D162="Tarjeta",H162=""),"Falta el espacio libre de salida",IF(AND(D162="Tarjeta",I162&lt;&gt;"",L162&lt;&gt;"Sí"),"Descarga pendiente",IF(AND(D162="Tarjeta",L162="Sí",N162&lt;&gt;"Sí"),"Verificación pendiente",IF(AND(D162="Tarjeta",N162="Sí",O162&lt;&gt;"Sí"),"Borrado pendiente",IF(Q162&lt;&gt;"","Revisar incidencia","Correcto"))))))))))))))</f>
        <v/>
      </c>
      <c r="T162" s="20" t="n"/>
    </row>
    <row r="163" ht="22" customHeight="1">
      <c r="A163" s="20" t="n"/>
      <c r="B163" s="20" t="n"/>
      <c r="C163" s="20" t="n"/>
      <c r="D163" s="23">
        <f>IF(C163="","",IFERROR(_xlfn.XLOOKUP(C163,tblInventario[ID del soporte],tblInventario[Tipo],""),""))</f>
        <v/>
      </c>
      <c r="E163" s="20" t="n"/>
      <c r="F163" s="22" t="n"/>
      <c r="G163" s="20" t="n"/>
      <c r="H163" s="21" t="n"/>
      <c r="I163" s="22" t="n"/>
      <c r="J163" s="20" t="n"/>
      <c r="K163" s="21" t="n"/>
      <c r="L163" s="20" t="n"/>
      <c r="M163" s="22" t="n"/>
      <c r="N163" s="20" t="n"/>
      <c r="O163" s="20" t="n"/>
      <c r="P163" s="22" t="n"/>
      <c r="Q163" s="26" t="n"/>
      <c r="R163" s="23">
        <f>IF(A163="","",IF(I163="","Abierto",IF(D163="Tarjeta",IF(OR(L163&lt;&gt;"Sí",N163&lt;&gt;"Sí",O163&lt;&gt;"Sí"),"Pendiente","Cerrado"),IF(D163="Batería","Cerrado","Revisar"))))</f>
        <v/>
      </c>
      <c r="S163" s="25">
        <f>IF(A163="","",IF(B163="","Falta la sesión",IF(C163="","Falta el soporte",IF(D163="","Soporte no encontrado",IF(COUNTIFS(tblControl[ID del soporte],C163,tblControl[Estado del control],"Abierto")&gt;1,"Soporte asignado más de una vez",IF(F163="","Falta la fecha de salida",IF(AND(I163&lt;&gt;"",I163&lt;F163),"La devolución es anterior a la salida",IF(AND(D163="Batería",G163=""),"Falta la carga de salida",IF(AND(D163="Batería",G163&lt;Resumen!$C$3),"Carga de salida inferior al mínimo",IF(AND(D163="Tarjeta",H163=""),"Falta el espacio libre de salida",IF(AND(D163="Tarjeta",I163&lt;&gt;"",L163&lt;&gt;"Sí"),"Descarga pendiente",IF(AND(D163="Tarjeta",L163="Sí",N163&lt;&gt;"Sí"),"Verificación pendiente",IF(AND(D163="Tarjeta",N163="Sí",O163&lt;&gt;"Sí"),"Borrado pendiente",IF(Q163&lt;&gt;"","Revisar incidencia","Correcto"))))))))))))))</f>
        <v/>
      </c>
      <c r="T163" s="20" t="n"/>
    </row>
    <row r="164" ht="22" customHeight="1">
      <c r="A164" s="20" t="n"/>
      <c r="B164" s="20" t="n"/>
      <c r="C164" s="20" t="n"/>
      <c r="D164" s="23">
        <f>IF(C164="","",IFERROR(_xlfn.XLOOKUP(C164,tblInventario[ID del soporte],tblInventario[Tipo],""),""))</f>
        <v/>
      </c>
      <c r="E164" s="20" t="n"/>
      <c r="F164" s="22" t="n"/>
      <c r="G164" s="20" t="n"/>
      <c r="H164" s="21" t="n"/>
      <c r="I164" s="22" t="n"/>
      <c r="J164" s="20" t="n"/>
      <c r="K164" s="21" t="n"/>
      <c r="L164" s="20" t="n"/>
      <c r="M164" s="22" t="n"/>
      <c r="N164" s="20" t="n"/>
      <c r="O164" s="20" t="n"/>
      <c r="P164" s="22" t="n"/>
      <c r="Q164" s="26" t="n"/>
      <c r="R164" s="23">
        <f>IF(A164="","",IF(I164="","Abierto",IF(D164="Tarjeta",IF(OR(L164&lt;&gt;"Sí",N164&lt;&gt;"Sí",O164&lt;&gt;"Sí"),"Pendiente","Cerrado"),IF(D164="Batería","Cerrado","Revisar"))))</f>
        <v/>
      </c>
      <c r="S164" s="25">
        <f>IF(A164="","",IF(B164="","Falta la sesión",IF(C164="","Falta el soporte",IF(D164="","Soporte no encontrado",IF(COUNTIFS(tblControl[ID del soporte],C164,tblControl[Estado del control],"Abierto")&gt;1,"Soporte asignado más de una vez",IF(F164="","Falta la fecha de salida",IF(AND(I164&lt;&gt;"",I164&lt;F164),"La devolución es anterior a la salida",IF(AND(D164="Batería",G164=""),"Falta la carga de salida",IF(AND(D164="Batería",G164&lt;Resumen!$C$3),"Carga de salida inferior al mínimo",IF(AND(D164="Tarjeta",H164=""),"Falta el espacio libre de salida",IF(AND(D164="Tarjeta",I164&lt;&gt;"",L164&lt;&gt;"Sí"),"Descarga pendiente",IF(AND(D164="Tarjeta",L164="Sí",N164&lt;&gt;"Sí"),"Verificación pendiente",IF(AND(D164="Tarjeta",N164="Sí",O164&lt;&gt;"Sí"),"Borrado pendiente",IF(Q164&lt;&gt;"","Revisar incidencia","Correcto"))))))))))))))</f>
        <v/>
      </c>
      <c r="T164" s="20" t="n"/>
    </row>
    <row r="165" ht="22" customHeight="1">
      <c r="A165" s="20" t="n"/>
      <c r="B165" s="20" t="n"/>
      <c r="C165" s="20" t="n"/>
      <c r="D165" s="23">
        <f>IF(C165="","",IFERROR(_xlfn.XLOOKUP(C165,tblInventario[ID del soporte],tblInventario[Tipo],""),""))</f>
        <v/>
      </c>
      <c r="E165" s="20" t="n"/>
      <c r="F165" s="22" t="n"/>
      <c r="G165" s="20" t="n"/>
      <c r="H165" s="21" t="n"/>
      <c r="I165" s="22" t="n"/>
      <c r="J165" s="20" t="n"/>
      <c r="K165" s="21" t="n"/>
      <c r="L165" s="20" t="n"/>
      <c r="M165" s="22" t="n"/>
      <c r="N165" s="20" t="n"/>
      <c r="O165" s="20" t="n"/>
      <c r="P165" s="22" t="n"/>
      <c r="Q165" s="26" t="n"/>
      <c r="R165" s="23">
        <f>IF(A165="","",IF(I165="","Abierto",IF(D165="Tarjeta",IF(OR(L165&lt;&gt;"Sí",N165&lt;&gt;"Sí",O165&lt;&gt;"Sí"),"Pendiente","Cerrado"),IF(D165="Batería","Cerrado","Revisar"))))</f>
        <v/>
      </c>
      <c r="S165" s="25">
        <f>IF(A165="","",IF(B165="","Falta la sesión",IF(C165="","Falta el soporte",IF(D165="","Soporte no encontrado",IF(COUNTIFS(tblControl[ID del soporte],C165,tblControl[Estado del control],"Abierto")&gt;1,"Soporte asignado más de una vez",IF(F165="","Falta la fecha de salida",IF(AND(I165&lt;&gt;"",I165&lt;F165),"La devolución es anterior a la salida",IF(AND(D165="Batería",G165=""),"Falta la carga de salida",IF(AND(D165="Batería",G165&lt;Resumen!$C$3),"Carga de salida inferior al mínimo",IF(AND(D165="Tarjeta",H165=""),"Falta el espacio libre de salida",IF(AND(D165="Tarjeta",I165&lt;&gt;"",L165&lt;&gt;"Sí"),"Descarga pendiente",IF(AND(D165="Tarjeta",L165="Sí",N165&lt;&gt;"Sí"),"Verificación pendiente",IF(AND(D165="Tarjeta",N165="Sí",O165&lt;&gt;"Sí"),"Borrado pendiente",IF(Q165&lt;&gt;"","Revisar incidencia","Correcto"))))))))))))))</f>
        <v/>
      </c>
      <c r="T165" s="20" t="n"/>
    </row>
    <row r="166" ht="22" customHeight="1">
      <c r="A166" s="20" t="n"/>
      <c r="B166" s="20" t="n"/>
      <c r="C166" s="20" t="n"/>
      <c r="D166" s="23">
        <f>IF(C166="","",IFERROR(_xlfn.XLOOKUP(C166,tblInventario[ID del soporte],tblInventario[Tipo],""),""))</f>
        <v/>
      </c>
      <c r="E166" s="20" t="n"/>
      <c r="F166" s="22" t="n"/>
      <c r="G166" s="20" t="n"/>
      <c r="H166" s="21" t="n"/>
      <c r="I166" s="22" t="n"/>
      <c r="J166" s="20" t="n"/>
      <c r="K166" s="21" t="n"/>
      <c r="L166" s="20" t="n"/>
      <c r="M166" s="22" t="n"/>
      <c r="N166" s="20" t="n"/>
      <c r="O166" s="20" t="n"/>
      <c r="P166" s="22" t="n"/>
      <c r="Q166" s="26" t="n"/>
      <c r="R166" s="23">
        <f>IF(A166="","",IF(I166="","Abierto",IF(D166="Tarjeta",IF(OR(L166&lt;&gt;"Sí",N166&lt;&gt;"Sí",O166&lt;&gt;"Sí"),"Pendiente","Cerrado"),IF(D166="Batería","Cerrado","Revisar"))))</f>
        <v/>
      </c>
      <c r="S166" s="25">
        <f>IF(A166="","",IF(B166="","Falta la sesión",IF(C166="","Falta el soporte",IF(D166="","Soporte no encontrado",IF(COUNTIFS(tblControl[ID del soporte],C166,tblControl[Estado del control],"Abierto")&gt;1,"Soporte asignado más de una vez",IF(F166="","Falta la fecha de salida",IF(AND(I166&lt;&gt;"",I166&lt;F166),"La devolución es anterior a la salida",IF(AND(D166="Batería",G166=""),"Falta la carga de salida",IF(AND(D166="Batería",G166&lt;Resumen!$C$3),"Carga de salida inferior al mínimo",IF(AND(D166="Tarjeta",H166=""),"Falta el espacio libre de salida",IF(AND(D166="Tarjeta",I166&lt;&gt;"",L166&lt;&gt;"Sí"),"Descarga pendiente",IF(AND(D166="Tarjeta",L166="Sí",N166&lt;&gt;"Sí"),"Verificación pendiente",IF(AND(D166="Tarjeta",N166="Sí",O166&lt;&gt;"Sí"),"Borrado pendiente",IF(Q166&lt;&gt;"","Revisar incidencia","Correcto"))))))))))))))</f>
        <v/>
      </c>
      <c r="T166" s="20" t="n"/>
    </row>
    <row r="167" ht="22" customHeight="1">
      <c r="A167" s="20" t="n"/>
      <c r="B167" s="20" t="n"/>
      <c r="C167" s="20" t="n"/>
      <c r="D167" s="23">
        <f>IF(C167="","",IFERROR(_xlfn.XLOOKUP(C167,tblInventario[ID del soporte],tblInventario[Tipo],""),""))</f>
        <v/>
      </c>
      <c r="E167" s="20" t="n"/>
      <c r="F167" s="22" t="n"/>
      <c r="G167" s="20" t="n"/>
      <c r="H167" s="21" t="n"/>
      <c r="I167" s="22" t="n"/>
      <c r="J167" s="20" t="n"/>
      <c r="K167" s="21" t="n"/>
      <c r="L167" s="20" t="n"/>
      <c r="M167" s="22" t="n"/>
      <c r="N167" s="20" t="n"/>
      <c r="O167" s="20" t="n"/>
      <c r="P167" s="22" t="n"/>
      <c r="Q167" s="26" t="n"/>
      <c r="R167" s="23">
        <f>IF(A167="","",IF(I167="","Abierto",IF(D167="Tarjeta",IF(OR(L167&lt;&gt;"Sí",N167&lt;&gt;"Sí",O167&lt;&gt;"Sí"),"Pendiente","Cerrado"),IF(D167="Batería","Cerrado","Revisar"))))</f>
        <v/>
      </c>
      <c r="S167" s="25">
        <f>IF(A167="","",IF(B167="","Falta la sesión",IF(C167="","Falta el soporte",IF(D167="","Soporte no encontrado",IF(COUNTIFS(tblControl[ID del soporte],C167,tblControl[Estado del control],"Abierto")&gt;1,"Soporte asignado más de una vez",IF(F167="","Falta la fecha de salida",IF(AND(I167&lt;&gt;"",I167&lt;F167),"La devolución es anterior a la salida",IF(AND(D167="Batería",G167=""),"Falta la carga de salida",IF(AND(D167="Batería",G167&lt;Resumen!$C$3),"Carga de salida inferior al mínimo",IF(AND(D167="Tarjeta",H167=""),"Falta el espacio libre de salida",IF(AND(D167="Tarjeta",I167&lt;&gt;"",L167&lt;&gt;"Sí"),"Descarga pendiente",IF(AND(D167="Tarjeta",L167="Sí",N167&lt;&gt;"Sí"),"Verificación pendiente",IF(AND(D167="Tarjeta",N167="Sí",O167&lt;&gt;"Sí"),"Borrado pendiente",IF(Q167&lt;&gt;"","Revisar incidencia","Correcto"))))))))))))))</f>
        <v/>
      </c>
      <c r="T167" s="20" t="n"/>
    </row>
    <row r="168" ht="22" customHeight="1">
      <c r="A168" s="20" t="n"/>
      <c r="B168" s="20" t="n"/>
      <c r="C168" s="20" t="n"/>
      <c r="D168" s="23">
        <f>IF(C168="","",IFERROR(_xlfn.XLOOKUP(C168,tblInventario[ID del soporte],tblInventario[Tipo],""),""))</f>
        <v/>
      </c>
      <c r="E168" s="20" t="n"/>
      <c r="F168" s="22" t="n"/>
      <c r="G168" s="20" t="n"/>
      <c r="H168" s="21" t="n"/>
      <c r="I168" s="22" t="n"/>
      <c r="J168" s="20" t="n"/>
      <c r="K168" s="21" t="n"/>
      <c r="L168" s="20" t="n"/>
      <c r="M168" s="22" t="n"/>
      <c r="N168" s="20" t="n"/>
      <c r="O168" s="20" t="n"/>
      <c r="P168" s="22" t="n"/>
      <c r="Q168" s="26" t="n"/>
      <c r="R168" s="23">
        <f>IF(A168="","",IF(I168="","Abierto",IF(D168="Tarjeta",IF(OR(L168&lt;&gt;"Sí",N168&lt;&gt;"Sí",O168&lt;&gt;"Sí"),"Pendiente","Cerrado"),IF(D168="Batería","Cerrado","Revisar"))))</f>
        <v/>
      </c>
      <c r="S168" s="25">
        <f>IF(A168="","",IF(B168="","Falta la sesión",IF(C168="","Falta el soporte",IF(D168="","Soporte no encontrado",IF(COUNTIFS(tblControl[ID del soporte],C168,tblControl[Estado del control],"Abierto")&gt;1,"Soporte asignado más de una vez",IF(F168="","Falta la fecha de salida",IF(AND(I168&lt;&gt;"",I168&lt;F168),"La devolución es anterior a la salida",IF(AND(D168="Batería",G168=""),"Falta la carga de salida",IF(AND(D168="Batería",G168&lt;Resumen!$C$3),"Carga de salida inferior al mínimo",IF(AND(D168="Tarjeta",H168=""),"Falta el espacio libre de salida",IF(AND(D168="Tarjeta",I168&lt;&gt;"",L168&lt;&gt;"Sí"),"Descarga pendiente",IF(AND(D168="Tarjeta",L168="Sí",N168&lt;&gt;"Sí"),"Verificación pendiente",IF(AND(D168="Tarjeta",N168="Sí",O168&lt;&gt;"Sí"),"Borrado pendiente",IF(Q168&lt;&gt;"","Revisar incidencia","Correcto"))))))))))))))</f>
        <v/>
      </c>
      <c r="T168" s="20" t="n"/>
    </row>
    <row r="169" ht="22" customHeight="1">
      <c r="A169" s="20" t="n"/>
      <c r="B169" s="20" t="n"/>
      <c r="C169" s="20" t="n"/>
      <c r="D169" s="23">
        <f>IF(C169="","",IFERROR(_xlfn.XLOOKUP(C169,tblInventario[ID del soporte],tblInventario[Tipo],""),""))</f>
        <v/>
      </c>
      <c r="E169" s="20" t="n"/>
      <c r="F169" s="22" t="n"/>
      <c r="G169" s="20" t="n"/>
      <c r="H169" s="21" t="n"/>
      <c r="I169" s="22" t="n"/>
      <c r="J169" s="20" t="n"/>
      <c r="K169" s="21" t="n"/>
      <c r="L169" s="20" t="n"/>
      <c r="M169" s="22" t="n"/>
      <c r="N169" s="20" t="n"/>
      <c r="O169" s="20" t="n"/>
      <c r="P169" s="22" t="n"/>
      <c r="Q169" s="26" t="n"/>
      <c r="R169" s="23">
        <f>IF(A169="","",IF(I169="","Abierto",IF(D169="Tarjeta",IF(OR(L169&lt;&gt;"Sí",N169&lt;&gt;"Sí",O169&lt;&gt;"Sí"),"Pendiente","Cerrado"),IF(D169="Batería","Cerrado","Revisar"))))</f>
        <v/>
      </c>
      <c r="S169" s="25">
        <f>IF(A169="","",IF(B169="","Falta la sesión",IF(C169="","Falta el soporte",IF(D169="","Soporte no encontrado",IF(COUNTIFS(tblControl[ID del soporte],C169,tblControl[Estado del control],"Abierto")&gt;1,"Soporte asignado más de una vez",IF(F169="","Falta la fecha de salida",IF(AND(I169&lt;&gt;"",I169&lt;F169),"La devolución es anterior a la salida",IF(AND(D169="Batería",G169=""),"Falta la carga de salida",IF(AND(D169="Batería",G169&lt;Resumen!$C$3),"Carga de salida inferior al mínimo",IF(AND(D169="Tarjeta",H169=""),"Falta el espacio libre de salida",IF(AND(D169="Tarjeta",I169&lt;&gt;"",L169&lt;&gt;"Sí"),"Descarga pendiente",IF(AND(D169="Tarjeta",L169="Sí",N169&lt;&gt;"Sí"),"Verificación pendiente",IF(AND(D169="Tarjeta",N169="Sí",O169&lt;&gt;"Sí"),"Borrado pendiente",IF(Q169&lt;&gt;"","Revisar incidencia","Correcto"))))))))))))))</f>
        <v/>
      </c>
      <c r="T169" s="20" t="n"/>
    </row>
    <row r="170" ht="22" customHeight="1">
      <c r="A170" s="20" t="n"/>
      <c r="B170" s="20" t="n"/>
      <c r="C170" s="20" t="n"/>
      <c r="D170" s="23">
        <f>IF(C170="","",IFERROR(_xlfn.XLOOKUP(C170,tblInventario[ID del soporte],tblInventario[Tipo],""),""))</f>
        <v/>
      </c>
      <c r="E170" s="20" t="n"/>
      <c r="F170" s="22" t="n"/>
      <c r="G170" s="20" t="n"/>
      <c r="H170" s="21" t="n"/>
      <c r="I170" s="22" t="n"/>
      <c r="J170" s="20" t="n"/>
      <c r="K170" s="21" t="n"/>
      <c r="L170" s="20" t="n"/>
      <c r="M170" s="22" t="n"/>
      <c r="N170" s="20" t="n"/>
      <c r="O170" s="20" t="n"/>
      <c r="P170" s="22" t="n"/>
      <c r="Q170" s="26" t="n"/>
      <c r="R170" s="23">
        <f>IF(A170="","",IF(I170="","Abierto",IF(D170="Tarjeta",IF(OR(L170&lt;&gt;"Sí",N170&lt;&gt;"Sí",O170&lt;&gt;"Sí"),"Pendiente","Cerrado"),IF(D170="Batería","Cerrado","Revisar"))))</f>
        <v/>
      </c>
      <c r="S170" s="25">
        <f>IF(A170="","",IF(B170="","Falta la sesión",IF(C170="","Falta el soporte",IF(D170="","Soporte no encontrado",IF(COUNTIFS(tblControl[ID del soporte],C170,tblControl[Estado del control],"Abierto")&gt;1,"Soporte asignado más de una vez",IF(F170="","Falta la fecha de salida",IF(AND(I170&lt;&gt;"",I170&lt;F170),"La devolución es anterior a la salida",IF(AND(D170="Batería",G170=""),"Falta la carga de salida",IF(AND(D170="Batería",G170&lt;Resumen!$C$3),"Carga de salida inferior al mínimo",IF(AND(D170="Tarjeta",H170=""),"Falta el espacio libre de salida",IF(AND(D170="Tarjeta",I170&lt;&gt;"",L170&lt;&gt;"Sí"),"Descarga pendiente",IF(AND(D170="Tarjeta",L170="Sí",N170&lt;&gt;"Sí"),"Verificación pendiente",IF(AND(D170="Tarjeta",N170="Sí",O170&lt;&gt;"Sí"),"Borrado pendiente",IF(Q170&lt;&gt;"","Revisar incidencia","Correcto"))))))))))))))</f>
        <v/>
      </c>
      <c r="T170" s="20" t="n"/>
    </row>
    <row r="171" ht="22" customHeight="1">
      <c r="A171" s="20" t="n"/>
      <c r="B171" s="20" t="n"/>
      <c r="C171" s="20" t="n"/>
      <c r="D171" s="23">
        <f>IF(C171="","",IFERROR(_xlfn.XLOOKUP(C171,tblInventario[ID del soporte],tblInventario[Tipo],""),""))</f>
        <v/>
      </c>
      <c r="E171" s="20" t="n"/>
      <c r="F171" s="22" t="n"/>
      <c r="G171" s="20" t="n"/>
      <c r="H171" s="21" t="n"/>
      <c r="I171" s="22" t="n"/>
      <c r="J171" s="20" t="n"/>
      <c r="K171" s="21" t="n"/>
      <c r="L171" s="20" t="n"/>
      <c r="M171" s="22" t="n"/>
      <c r="N171" s="20" t="n"/>
      <c r="O171" s="20" t="n"/>
      <c r="P171" s="22" t="n"/>
      <c r="Q171" s="26" t="n"/>
      <c r="R171" s="23">
        <f>IF(A171="","",IF(I171="","Abierto",IF(D171="Tarjeta",IF(OR(L171&lt;&gt;"Sí",N171&lt;&gt;"Sí",O171&lt;&gt;"Sí"),"Pendiente","Cerrado"),IF(D171="Batería","Cerrado","Revisar"))))</f>
        <v/>
      </c>
      <c r="S171" s="25">
        <f>IF(A171="","",IF(B171="","Falta la sesión",IF(C171="","Falta el soporte",IF(D171="","Soporte no encontrado",IF(COUNTIFS(tblControl[ID del soporte],C171,tblControl[Estado del control],"Abierto")&gt;1,"Soporte asignado más de una vez",IF(F171="","Falta la fecha de salida",IF(AND(I171&lt;&gt;"",I171&lt;F171),"La devolución es anterior a la salida",IF(AND(D171="Batería",G171=""),"Falta la carga de salida",IF(AND(D171="Batería",G171&lt;Resumen!$C$3),"Carga de salida inferior al mínimo",IF(AND(D171="Tarjeta",H171=""),"Falta el espacio libre de salida",IF(AND(D171="Tarjeta",I171&lt;&gt;"",L171&lt;&gt;"Sí"),"Descarga pendiente",IF(AND(D171="Tarjeta",L171="Sí",N171&lt;&gt;"Sí"),"Verificación pendiente",IF(AND(D171="Tarjeta",N171="Sí",O171&lt;&gt;"Sí"),"Borrado pendiente",IF(Q171&lt;&gt;"","Revisar incidencia","Correcto"))))))))))))))</f>
        <v/>
      </c>
      <c r="T171" s="20" t="n"/>
    </row>
    <row r="172" ht="22" customHeight="1">
      <c r="A172" s="20" t="n"/>
      <c r="B172" s="20" t="n"/>
      <c r="C172" s="20" t="n"/>
      <c r="D172" s="23">
        <f>IF(C172="","",IFERROR(_xlfn.XLOOKUP(C172,tblInventario[ID del soporte],tblInventario[Tipo],""),""))</f>
        <v/>
      </c>
      <c r="E172" s="20" t="n"/>
      <c r="F172" s="22" t="n"/>
      <c r="G172" s="20" t="n"/>
      <c r="H172" s="21" t="n"/>
      <c r="I172" s="22" t="n"/>
      <c r="J172" s="20" t="n"/>
      <c r="K172" s="21" t="n"/>
      <c r="L172" s="20" t="n"/>
      <c r="M172" s="22" t="n"/>
      <c r="N172" s="20" t="n"/>
      <c r="O172" s="20" t="n"/>
      <c r="P172" s="22" t="n"/>
      <c r="Q172" s="26" t="n"/>
      <c r="R172" s="23">
        <f>IF(A172="","",IF(I172="","Abierto",IF(D172="Tarjeta",IF(OR(L172&lt;&gt;"Sí",N172&lt;&gt;"Sí",O172&lt;&gt;"Sí"),"Pendiente","Cerrado"),IF(D172="Batería","Cerrado","Revisar"))))</f>
        <v/>
      </c>
      <c r="S172" s="25">
        <f>IF(A172="","",IF(B172="","Falta la sesión",IF(C172="","Falta el soporte",IF(D172="","Soporte no encontrado",IF(COUNTIFS(tblControl[ID del soporte],C172,tblControl[Estado del control],"Abierto")&gt;1,"Soporte asignado más de una vez",IF(F172="","Falta la fecha de salida",IF(AND(I172&lt;&gt;"",I172&lt;F172),"La devolución es anterior a la salida",IF(AND(D172="Batería",G172=""),"Falta la carga de salida",IF(AND(D172="Batería",G172&lt;Resumen!$C$3),"Carga de salida inferior al mínimo",IF(AND(D172="Tarjeta",H172=""),"Falta el espacio libre de salida",IF(AND(D172="Tarjeta",I172&lt;&gt;"",L172&lt;&gt;"Sí"),"Descarga pendiente",IF(AND(D172="Tarjeta",L172="Sí",N172&lt;&gt;"Sí"),"Verificación pendiente",IF(AND(D172="Tarjeta",N172="Sí",O172&lt;&gt;"Sí"),"Borrado pendiente",IF(Q172&lt;&gt;"","Revisar incidencia","Correcto"))))))))))))))</f>
        <v/>
      </c>
      <c r="T172" s="20" t="n"/>
    </row>
    <row r="173" ht="22" customHeight="1">
      <c r="A173" s="20" t="n"/>
      <c r="B173" s="20" t="n"/>
      <c r="C173" s="20" t="n"/>
      <c r="D173" s="23">
        <f>IF(C173="","",IFERROR(_xlfn.XLOOKUP(C173,tblInventario[ID del soporte],tblInventario[Tipo],""),""))</f>
        <v/>
      </c>
      <c r="E173" s="20" t="n"/>
      <c r="F173" s="22" t="n"/>
      <c r="G173" s="20" t="n"/>
      <c r="H173" s="21" t="n"/>
      <c r="I173" s="22" t="n"/>
      <c r="J173" s="20" t="n"/>
      <c r="K173" s="21" t="n"/>
      <c r="L173" s="20" t="n"/>
      <c r="M173" s="22" t="n"/>
      <c r="N173" s="20" t="n"/>
      <c r="O173" s="20" t="n"/>
      <c r="P173" s="22" t="n"/>
      <c r="Q173" s="26" t="n"/>
      <c r="R173" s="23">
        <f>IF(A173="","",IF(I173="","Abierto",IF(D173="Tarjeta",IF(OR(L173&lt;&gt;"Sí",N173&lt;&gt;"Sí",O173&lt;&gt;"Sí"),"Pendiente","Cerrado"),IF(D173="Batería","Cerrado","Revisar"))))</f>
        <v/>
      </c>
      <c r="S173" s="25">
        <f>IF(A173="","",IF(B173="","Falta la sesión",IF(C173="","Falta el soporte",IF(D173="","Soporte no encontrado",IF(COUNTIFS(tblControl[ID del soporte],C173,tblControl[Estado del control],"Abierto")&gt;1,"Soporte asignado más de una vez",IF(F173="","Falta la fecha de salida",IF(AND(I173&lt;&gt;"",I173&lt;F173),"La devolución es anterior a la salida",IF(AND(D173="Batería",G173=""),"Falta la carga de salida",IF(AND(D173="Batería",G173&lt;Resumen!$C$3),"Carga de salida inferior al mínimo",IF(AND(D173="Tarjeta",H173=""),"Falta el espacio libre de salida",IF(AND(D173="Tarjeta",I173&lt;&gt;"",L173&lt;&gt;"Sí"),"Descarga pendiente",IF(AND(D173="Tarjeta",L173="Sí",N173&lt;&gt;"Sí"),"Verificación pendiente",IF(AND(D173="Tarjeta",N173="Sí",O173&lt;&gt;"Sí"),"Borrado pendiente",IF(Q173&lt;&gt;"","Revisar incidencia","Correcto"))))))))))))))</f>
        <v/>
      </c>
      <c r="T173" s="20" t="n"/>
    </row>
    <row r="174" ht="22" customHeight="1">
      <c r="A174" s="20" t="n"/>
      <c r="B174" s="20" t="n"/>
      <c r="C174" s="20" t="n"/>
      <c r="D174" s="23">
        <f>IF(C174="","",IFERROR(_xlfn.XLOOKUP(C174,tblInventario[ID del soporte],tblInventario[Tipo],""),""))</f>
        <v/>
      </c>
      <c r="E174" s="20" t="n"/>
      <c r="F174" s="22" t="n"/>
      <c r="G174" s="20" t="n"/>
      <c r="H174" s="21" t="n"/>
      <c r="I174" s="22" t="n"/>
      <c r="J174" s="20" t="n"/>
      <c r="K174" s="21" t="n"/>
      <c r="L174" s="20" t="n"/>
      <c r="M174" s="22" t="n"/>
      <c r="N174" s="20" t="n"/>
      <c r="O174" s="20" t="n"/>
      <c r="P174" s="22" t="n"/>
      <c r="Q174" s="26" t="n"/>
      <c r="R174" s="23">
        <f>IF(A174="","",IF(I174="","Abierto",IF(D174="Tarjeta",IF(OR(L174&lt;&gt;"Sí",N174&lt;&gt;"Sí",O174&lt;&gt;"Sí"),"Pendiente","Cerrado"),IF(D174="Batería","Cerrado","Revisar"))))</f>
        <v/>
      </c>
      <c r="S174" s="25">
        <f>IF(A174="","",IF(B174="","Falta la sesión",IF(C174="","Falta el soporte",IF(D174="","Soporte no encontrado",IF(COUNTIFS(tblControl[ID del soporte],C174,tblControl[Estado del control],"Abierto")&gt;1,"Soporte asignado más de una vez",IF(F174="","Falta la fecha de salida",IF(AND(I174&lt;&gt;"",I174&lt;F174),"La devolución es anterior a la salida",IF(AND(D174="Batería",G174=""),"Falta la carga de salida",IF(AND(D174="Batería",G174&lt;Resumen!$C$3),"Carga de salida inferior al mínimo",IF(AND(D174="Tarjeta",H174=""),"Falta el espacio libre de salida",IF(AND(D174="Tarjeta",I174&lt;&gt;"",L174&lt;&gt;"Sí"),"Descarga pendiente",IF(AND(D174="Tarjeta",L174="Sí",N174&lt;&gt;"Sí"),"Verificación pendiente",IF(AND(D174="Tarjeta",N174="Sí",O174&lt;&gt;"Sí"),"Borrado pendiente",IF(Q174&lt;&gt;"","Revisar incidencia","Correcto"))))))))))))))</f>
        <v/>
      </c>
      <c r="T174" s="20" t="n"/>
    </row>
    <row r="175" ht="22" customHeight="1">
      <c r="A175" s="20" t="n"/>
      <c r="B175" s="20" t="n"/>
      <c r="C175" s="20" t="n"/>
      <c r="D175" s="23">
        <f>IF(C175="","",IFERROR(_xlfn.XLOOKUP(C175,tblInventario[ID del soporte],tblInventario[Tipo],""),""))</f>
        <v/>
      </c>
      <c r="E175" s="20" t="n"/>
      <c r="F175" s="22" t="n"/>
      <c r="G175" s="20" t="n"/>
      <c r="H175" s="21" t="n"/>
      <c r="I175" s="22" t="n"/>
      <c r="J175" s="20" t="n"/>
      <c r="K175" s="21" t="n"/>
      <c r="L175" s="20" t="n"/>
      <c r="M175" s="22" t="n"/>
      <c r="N175" s="20" t="n"/>
      <c r="O175" s="20" t="n"/>
      <c r="P175" s="22" t="n"/>
      <c r="Q175" s="26" t="n"/>
      <c r="R175" s="23">
        <f>IF(A175="","",IF(I175="","Abierto",IF(D175="Tarjeta",IF(OR(L175&lt;&gt;"Sí",N175&lt;&gt;"Sí",O175&lt;&gt;"Sí"),"Pendiente","Cerrado"),IF(D175="Batería","Cerrado","Revisar"))))</f>
        <v/>
      </c>
      <c r="S175" s="25">
        <f>IF(A175="","",IF(B175="","Falta la sesión",IF(C175="","Falta el soporte",IF(D175="","Soporte no encontrado",IF(COUNTIFS(tblControl[ID del soporte],C175,tblControl[Estado del control],"Abierto")&gt;1,"Soporte asignado más de una vez",IF(F175="","Falta la fecha de salida",IF(AND(I175&lt;&gt;"",I175&lt;F175),"La devolución es anterior a la salida",IF(AND(D175="Batería",G175=""),"Falta la carga de salida",IF(AND(D175="Batería",G175&lt;Resumen!$C$3),"Carga de salida inferior al mínimo",IF(AND(D175="Tarjeta",H175=""),"Falta el espacio libre de salida",IF(AND(D175="Tarjeta",I175&lt;&gt;"",L175&lt;&gt;"Sí"),"Descarga pendiente",IF(AND(D175="Tarjeta",L175="Sí",N175&lt;&gt;"Sí"),"Verificación pendiente",IF(AND(D175="Tarjeta",N175="Sí",O175&lt;&gt;"Sí"),"Borrado pendiente",IF(Q175&lt;&gt;"","Revisar incidencia","Correcto"))))))))))))))</f>
        <v/>
      </c>
      <c r="T175" s="20" t="n"/>
    </row>
    <row r="176" ht="22" customHeight="1">
      <c r="A176" s="20" t="n"/>
      <c r="B176" s="20" t="n"/>
      <c r="C176" s="20" t="n"/>
      <c r="D176" s="23">
        <f>IF(C176="","",IFERROR(_xlfn.XLOOKUP(C176,tblInventario[ID del soporte],tblInventario[Tipo],""),""))</f>
        <v/>
      </c>
      <c r="E176" s="20" t="n"/>
      <c r="F176" s="22" t="n"/>
      <c r="G176" s="20" t="n"/>
      <c r="H176" s="21" t="n"/>
      <c r="I176" s="22" t="n"/>
      <c r="J176" s="20" t="n"/>
      <c r="K176" s="21" t="n"/>
      <c r="L176" s="20" t="n"/>
      <c r="M176" s="22" t="n"/>
      <c r="N176" s="20" t="n"/>
      <c r="O176" s="20" t="n"/>
      <c r="P176" s="22" t="n"/>
      <c r="Q176" s="26" t="n"/>
      <c r="R176" s="23">
        <f>IF(A176="","",IF(I176="","Abierto",IF(D176="Tarjeta",IF(OR(L176&lt;&gt;"Sí",N176&lt;&gt;"Sí",O176&lt;&gt;"Sí"),"Pendiente","Cerrado"),IF(D176="Batería","Cerrado","Revisar"))))</f>
        <v/>
      </c>
      <c r="S176" s="25">
        <f>IF(A176="","",IF(B176="","Falta la sesión",IF(C176="","Falta el soporte",IF(D176="","Soporte no encontrado",IF(COUNTIFS(tblControl[ID del soporte],C176,tblControl[Estado del control],"Abierto")&gt;1,"Soporte asignado más de una vez",IF(F176="","Falta la fecha de salida",IF(AND(I176&lt;&gt;"",I176&lt;F176),"La devolución es anterior a la salida",IF(AND(D176="Batería",G176=""),"Falta la carga de salida",IF(AND(D176="Batería",G176&lt;Resumen!$C$3),"Carga de salida inferior al mínimo",IF(AND(D176="Tarjeta",H176=""),"Falta el espacio libre de salida",IF(AND(D176="Tarjeta",I176&lt;&gt;"",L176&lt;&gt;"Sí"),"Descarga pendiente",IF(AND(D176="Tarjeta",L176="Sí",N176&lt;&gt;"Sí"),"Verificación pendiente",IF(AND(D176="Tarjeta",N176="Sí",O176&lt;&gt;"Sí"),"Borrado pendiente",IF(Q176&lt;&gt;"","Revisar incidencia","Correcto"))))))))))))))</f>
        <v/>
      </c>
      <c r="T176" s="20" t="n"/>
    </row>
    <row r="177" ht="22" customHeight="1">
      <c r="A177" s="20" t="n"/>
      <c r="B177" s="20" t="n"/>
      <c r="C177" s="20" t="n"/>
      <c r="D177" s="23">
        <f>IF(C177="","",IFERROR(_xlfn.XLOOKUP(C177,tblInventario[ID del soporte],tblInventario[Tipo],""),""))</f>
        <v/>
      </c>
      <c r="E177" s="20" t="n"/>
      <c r="F177" s="22" t="n"/>
      <c r="G177" s="20" t="n"/>
      <c r="H177" s="21" t="n"/>
      <c r="I177" s="22" t="n"/>
      <c r="J177" s="20" t="n"/>
      <c r="K177" s="21" t="n"/>
      <c r="L177" s="20" t="n"/>
      <c r="M177" s="22" t="n"/>
      <c r="N177" s="20" t="n"/>
      <c r="O177" s="20" t="n"/>
      <c r="P177" s="22" t="n"/>
      <c r="Q177" s="26" t="n"/>
      <c r="R177" s="23">
        <f>IF(A177="","",IF(I177="","Abierto",IF(D177="Tarjeta",IF(OR(L177&lt;&gt;"Sí",N177&lt;&gt;"Sí",O177&lt;&gt;"Sí"),"Pendiente","Cerrado"),IF(D177="Batería","Cerrado","Revisar"))))</f>
        <v/>
      </c>
      <c r="S177" s="25">
        <f>IF(A177="","",IF(B177="","Falta la sesión",IF(C177="","Falta el soporte",IF(D177="","Soporte no encontrado",IF(COUNTIFS(tblControl[ID del soporte],C177,tblControl[Estado del control],"Abierto")&gt;1,"Soporte asignado más de una vez",IF(F177="","Falta la fecha de salida",IF(AND(I177&lt;&gt;"",I177&lt;F177),"La devolución es anterior a la salida",IF(AND(D177="Batería",G177=""),"Falta la carga de salida",IF(AND(D177="Batería",G177&lt;Resumen!$C$3),"Carga de salida inferior al mínimo",IF(AND(D177="Tarjeta",H177=""),"Falta el espacio libre de salida",IF(AND(D177="Tarjeta",I177&lt;&gt;"",L177&lt;&gt;"Sí"),"Descarga pendiente",IF(AND(D177="Tarjeta",L177="Sí",N177&lt;&gt;"Sí"),"Verificación pendiente",IF(AND(D177="Tarjeta",N177="Sí",O177&lt;&gt;"Sí"),"Borrado pendiente",IF(Q177&lt;&gt;"","Revisar incidencia","Correcto"))))))))))))))</f>
        <v/>
      </c>
      <c r="T177" s="20" t="n"/>
    </row>
    <row r="178" ht="22" customHeight="1">
      <c r="A178" s="20" t="n"/>
      <c r="B178" s="20" t="n"/>
      <c r="C178" s="20" t="n"/>
      <c r="D178" s="23">
        <f>IF(C178="","",IFERROR(_xlfn.XLOOKUP(C178,tblInventario[ID del soporte],tblInventario[Tipo],""),""))</f>
        <v/>
      </c>
      <c r="E178" s="20" t="n"/>
      <c r="F178" s="22" t="n"/>
      <c r="G178" s="20" t="n"/>
      <c r="H178" s="21" t="n"/>
      <c r="I178" s="22" t="n"/>
      <c r="J178" s="20" t="n"/>
      <c r="K178" s="21" t="n"/>
      <c r="L178" s="20" t="n"/>
      <c r="M178" s="22" t="n"/>
      <c r="N178" s="20" t="n"/>
      <c r="O178" s="20" t="n"/>
      <c r="P178" s="22" t="n"/>
      <c r="Q178" s="26" t="n"/>
      <c r="R178" s="23">
        <f>IF(A178="","",IF(I178="","Abierto",IF(D178="Tarjeta",IF(OR(L178&lt;&gt;"Sí",N178&lt;&gt;"Sí",O178&lt;&gt;"Sí"),"Pendiente","Cerrado"),IF(D178="Batería","Cerrado","Revisar"))))</f>
        <v/>
      </c>
      <c r="S178" s="25">
        <f>IF(A178="","",IF(B178="","Falta la sesión",IF(C178="","Falta el soporte",IF(D178="","Soporte no encontrado",IF(COUNTIFS(tblControl[ID del soporte],C178,tblControl[Estado del control],"Abierto")&gt;1,"Soporte asignado más de una vez",IF(F178="","Falta la fecha de salida",IF(AND(I178&lt;&gt;"",I178&lt;F178),"La devolución es anterior a la salida",IF(AND(D178="Batería",G178=""),"Falta la carga de salida",IF(AND(D178="Batería",G178&lt;Resumen!$C$3),"Carga de salida inferior al mínimo",IF(AND(D178="Tarjeta",H178=""),"Falta el espacio libre de salida",IF(AND(D178="Tarjeta",I178&lt;&gt;"",L178&lt;&gt;"Sí"),"Descarga pendiente",IF(AND(D178="Tarjeta",L178="Sí",N178&lt;&gt;"Sí"),"Verificación pendiente",IF(AND(D178="Tarjeta",N178="Sí",O178&lt;&gt;"Sí"),"Borrado pendiente",IF(Q178&lt;&gt;"","Revisar incidencia","Correcto"))))))))))))))</f>
        <v/>
      </c>
      <c r="T178" s="20" t="n"/>
    </row>
    <row r="179" ht="22" customHeight="1">
      <c r="A179" s="20" t="n"/>
      <c r="B179" s="20" t="n"/>
      <c r="C179" s="20" t="n"/>
      <c r="D179" s="23">
        <f>IF(C179="","",IFERROR(_xlfn.XLOOKUP(C179,tblInventario[ID del soporte],tblInventario[Tipo],""),""))</f>
        <v/>
      </c>
      <c r="E179" s="20" t="n"/>
      <c r="F179" s="22" t="n"/>
      <c r="G179" s="20" t="n"/>
      <c r="H179" s="21" t="n"/>
      <c r="I179" s="22" t="n"/>
      <c r="J179" s="20" t="n"/>
      <c r="K179" s="21" t="n"/>
      <c r="L179" s="20" t="n"/>
      <c r="M179" s="22" t="n"/>
      <c r="N179" s="20" t="n"/>
      <c r="O179" s="20" t="n"/>
      <c r="P179" s="22" t="n"/>
      <c r="Q179" s="26" t="n"/>
      <c r="R179" s="23">
        <f>IF(A179="","",IF(I179="","Abierto",IF(D179="Tarjeta",IF(OR(L179&lt;&gt;"Sí",N179&lt;&gt;"Sí",O179&lt;&gt;"Sí"),"Pendiente","Cerrado"),IF(D179="Batería","Cerrado","Revisar"))))</f>
        <v/>
      </c>
      <c r="S179" s="25">
        <f>IF(A179="","",IF(B179="","Falta la sesión",IF(C179="","Falta el soporte",IF(D179="","Soporte no encontrado",IF(COUNTIFS(tblControl[ID del soporte],C179,tblControl[Estado del control],"Abierto")&gt;1,"Soporte asignado más de una vez",IF(F179="","Falta la fecha de salida",IF(AND(I179&lt;&gt;"",I179&lt;F179),"La devolución es anterior a la salida",IF(AND(D179="Batería",G179=""),"Falta la carga de salida",IF(AND(D179="Batería",G179&lt;Resumen!$C$3),"Carga de salida inferior al mínimo",IF(AND(D179="Tarjeta",H179=""),"Falta el espacio libre de salida",IF(AND(D179="Tarjeta",I179&lt;&gt;"",L179&lt;&gt;"Sí"),"Descarga pendiente",IF(AND(D179="Tarjeta",L179="Sí",N179&lt;&gt;"Sí"),"Verificación pendiente",IF(AND(D179="Tarjeta",N179="Sí",O179&lt;&gt;"Sí"),"Borrado pendiente",IF(Q179&lt;&gt;"","Revisar incidencia","Correcto"))))))))))))))</f>
        <v/>
      </c>
      <c r="T179" s="20" t="n"/>
    </row>
    <row r="180" ht="22" customHeight="1">
      <c r="A180" s="20" t="n"/>
      <c r="B180" s="20" t="n"/>
      <c r="C180" s="20" t="n"/>
      <c r="D180" s="23">
        <f>IF(C180="","",IFERROR(_xlfn.XLOOKUP(C180,tblInventario[ID del soporte],tblInventario[Tipo],""),""))</f>
        <v/>
      </c>
      <c r="E180" s="20" t="n"/>
      <c r="F180" s="22" t="n"/>
      <c r="G180" s="20" t="n"/>
      <c r="H180" s="21" t="n"/>
      <c r="I180" s="22" t="n"/>
      <c r="J180" s="20" t="n"/>
      <c r="K180" s="21" t="n"/>
      <c r="L180" s="20" t="n"/>
      <c r="M180" s="22" t="n"/>
      <c r="N180" s="20" t="n"/>
      <c r="O180" s="20" t="n"/>
      <c r="P180" s="22" t="n"/>
      <c r="Q180" s="26" t="n"/>
      <c r="R180" s="23">
        <f>IF(A180="","",IF(I180="","Abierto",IF(D180="Tarjeta",IF(OR(L180&lt;&gt;"Sí",N180&lt;&gt;"Sí",O180&lt;&gt;"Sí"),"Pendiente","Cerrado"),IF(D180="Batería","Cerrado","Revisar"))))</f>
        <v/>
      </c>
      <c r="S180" s="25">
        <f>IF(A180="","",IF(B180="","Falta la sesión",IF(C180="","Falta el soporte",IF(D180="","Soporte no encontrado",IF(COUNTIFS(tblControl[ID del soporte],C180,tblControl[Estado del control],"Abierto")&gt;1,"Soporte asignado más de una vez",IF(F180="","Falta la fecha de salida",IF(AND(I180&lt;&gt;"",I180&lt;F180),"La devolución es anterior a la salida",IF(AND(D180="Batería",G180=""),"Falta la carga de salida",IF(AND(D180="Batería",G180&lt;Resumen!$C$3),"Carga de salida inferior al mínimo",IF(AND(D180="Tarjeta",H180=""),"Falta el espacio libre de salida",IF(AND(D180="Tarjeta",I180&lt;&gt;"",L180&lt;&gt;"Sí"),"Descarga pendiente",IF(AND(D180="Tarjeta",L180="Sí",N180&lt;&gt;"Sí"),"Verificación pendiente",IF(AND(D180="Tarjeta",N180="Sí",O180&lt;&gt;"Sí"),"Borrado pendiente",IF(Q180&lt;&gt;"","Revisar incidencia","Correcto"))))))))))))))</f>
        <v/>
      </c>
      <c r="T180" s="20" t="n"/>
    </row>
    <row r="181" ht="22" customHeight="1">
      <c r="A181" s="20" t="n"/>
      <c r="B181" s="20" t="n"/>
      <c r="C181" s="20" t="n"/>
      <c r="D181" s="23">
        <f>IF(C181="","",IFERROR(_xlfn.XLOOKUP(C181,tblInventario[ID del soporte],tblInventario[Tipo],""),""))</f>
        <v/>
      </c>
      <c r="E181" s="20" t="n"/>
      <c r="F181" s="22" t="n"/>
      <c r="G181" s="20" t="n"/>
      <c r="H181" s="21" t="n"/>
      <c r="I181" s="22" t="n"/>
      <c r="J181" s="20" t="n"/>
      <c r="K181" s="21" t="n"/>
      <c r="L181" s="20" t="n"/>
      <c r="M181" s="22" t="n"/>
      <c r="N181" s="20" t="n"/>
      <c r="O181" s="20" t="n"/>
      <c r="P181" s="22" t="n"/>
      <c r="Q181" s="26" t="n"/>
      <c r="R181" s="23">
        <f>IF(A181="","",IF(I181="","Abierto",IF(D181="Tarjeta",IF(OR(L181&lt;&gt;"Sí",N181&lt;&gt;"Sí",O181&lt;&gt;"Sí"),"Pendiente","Cerrado"),IF(D181="Batería","Cerrado","Revisar"))))</f>
        <v/>
      </c>
      <c r="S181" s="25">
        <f>IF(A181="","",IF(B181="","Falta la sesión",IF(C181="","Falta el soporte",IF(D181="","Soporte no encontrado",IF(COUNTIFS(tblControl[ID del soporte],C181,tblControl[Estado del control],"Abierto")&gt;1,"Soporte asignado más de una vez",IF(F181="","Falta la fecha de salida",IF(AND(I181&lt;&gt;"",I181&lt;F181),"La devolución es anterior a la salida",IF(AND(D181="Batería",G181=""),"Falta la carga de salida",IF(AND(D181="Batería",G181&lt;Resumen!$C$3),"Carga de salida inferior al mínimo",IF(AND(D181="Tarjeta",H181=""),"Falta el espacio libre de salida",IF(AND(D181="Tarjeta",I181&lt;&gt;"",L181&lt;&gt;"Sí"),"Descarga pendiente",IF(AND(D181="Tarjeta",L181="Sí",N181&lt;&gt;"Sí"),"Verificación pendiente",IF(AND(D181="Tarjeta",N181="Sí",O181&lt;&gt;"Sí"),"Borrado pendiente",IF(Q181&lt;&gt;"","Revisar incidencia","Correcto"))))))))))))))</f>
        <v/>
      </c>
      <c r="T181" s="20" t="n"/>
    </row>
    <row r="182" ht="22" customHeight="1">
      <c r="A182" s="20" t="n"/>
      <c r="B182" s="20" t="n"/>
      <c r="C182" s="20" t="n"/>
      <c r="D182" s="23">
        <f>IF(C182="","",IFERROR(_xlfn.XLOOKUP(C182,tblInventario[ID del soporte],tblInventario[Tipo],""),""))</f>
        <v/>
      </c>
      <c r="E182" s="20" t="n"/>
      <c r="F182" s="22" t="n"/>
      <c r="G182" s="20" t="n"/>
      <c r="H182" s="21" t="n"/>
      <c r="I182" s="22" t="n"/>
      <c r="J182" s="20" t="n"/>
      <c r="K182" s="21" t="n"/>
      <c r="L182" s="20" t="n"/>
      <c r="M182" s="22" t="n"/>
      <c r="N182" s="20" t="n"/>
      <c r="O182" s="20" t="n"/>
      <c r="P182" s="22" t="n"/>
      <c r="Q182" s="26" t="n"/>
      <c r="R182" s="23">
        <f>IF(A182="","",IF(I182="","Abierto",IF(D182="Tarjeta",IF(OR(L182&lt;&gt;"Sí",N182&lt;&gt;"Sí",O182&lt;&gt;"Sí"),"Pendiente","Cerrado"),IF(D182="Batería","Cerrado","Revisar"))))</f>
        <v/>
      </c>
      <c r="S182" s="25">
        <f>IF(A182="","",IF(B182="","Falta la sesión",IF(C182="","Falta el soporte",IF(D182="","Soporte no encontrado",IF(COUNTIFS(tblControl[ID del soporte],C182,tblControl[Estado del control],"Abierto")&gt;1,"Soporte asignado más de una vez",IF(F182="","Falta la fecha de salida",IF(AND(I182&lt;&gt;"",I182&lt;F182),"La devolución es anterior a la salida",IF(AND(D182="Batería",G182=""),"Falta la carga de salida",IF(AND(D182="Batería",G182&lt;Resumen!$C$3),"Carga de salida inferior al mínimo",IF(AND(D182="Tarjeta",H182=""),"Falta el espacio libre de salida",IF(AND(D182="Tarjeta",I182&lt;&gt;"",L182&lt;&gt;"Sí"),"Descarga pendiente",IF(AND(D182="Tarjeta",L182="Sí",N182&lt;&gt;"Sí"),"Verificación pendiente",IF(AND(D182="Tarjeta",N182="Sí",O182&lt;&gt;"Sí"),"Borrado pendiente",IF(Q182&lt;&gt;"","Revisar incidencia","Correcto"))))))))))))))</f>
        <v/>
      </c>
      <c r="T182" s="20" t="n"/>
    </row>
    <row r="183" ht="22" customHeight="1">
      <c r="A183" s="20" t="n"/>
      <c r="B183" s="20" t="n"/>
      <c r="C183" s="20" t="n"/>
      <c r="D183" s="23">
        <f>IF(C183="","",IFERROR(_xlfn.XLOOKUP(C183,tblInventario[ID del soporte],tblInventario[Tipo],""),""))</f>
        <v/>
      </c>
      <c r="E183" s="20" t="n"/>
      <c r="F183" s="22" t="n"/>
      <c r="G183" s="20" t="n"/>
      <c r="H183" s="21" t="n"/>
      <c r="I183" s="22" t="n"/>
      <c r="J183" s="20" t="n"/>
      <c r="K183" s="21" t="n"/>
      <c r="L183" s="20" t="n"/>
      <c r="M183" s="22" t="n"/>
      <c r="N183" s="20" t="n"/>
      <c r="O183" s="20" t="n"/>
      <c r="P183" s="22" t="n"/>
      <c r="Q183" s="26" t="n"/>
      <c r="R183" s="23">
        <f>IF(A183="","",IF(I183="","Abierto",IF(D183="Tarjeta",IF(OR(L183&lt;&gt;"Sí",N183&lt;&gt;"Sí",O183&lt;&gt;"Sí"),"Pendiente","Cerrado"),IF(D183="Batería","Cerrado","Revisar"))))</f>
        <v/>
      </c>
      <c r="S183" s="25">
        <f>IF(A183="","",IF(B183="","Falta la sesión",IF(C183="","Falta el soporte",IF(D183="","Soporte no encontrado",IF(COUNTIFS(tblControl[ID del soporte],C183,tblControl[Estado del control],"Abierto")&gt;1,"Soporte asignado más de una vez",IF(F183="","Falta la fecha de salida",IF(AND(I183&lt;&gt;"",I183&lt;F183),"La devolución es anterior a la salida",IF(AND(D183="Batería",G183=""),"Falta la carga de salida",IF(AND(D183="Batería",G183&lt;Resumen!$C$3),"Carga de salida inferior al mínimo",IF(AND(D183="Tarjeta",H183=""),"Falta el espacio libre de salida",IF(AND(D183="Tarjeta",I183&lt;&gt;"",L183&lt;&gt;"Sí"),"Descarga pendiente",IF(AND(D183="Tarjeta",L183="Sí",N183&lt;&gt;"Sí"),"Verificación pendiente",IF(AND(D183="Tarjeta",N183="Sí",O183&lt;&gt;"Sí"),"Borrado pendiente",IF(Q183&lt;&gt;"","Revisar incidencia","Correcto"))))))))))))))</f>
        <v/>
      </c>
      <c r="T183" s="20" t="n"/>
    </row>
    <row r="184" ht="22" customHeight="1">
      <c r="A184" s="20" t="n"/>
      <c r="B184" s="20" t="n"/>
      <c r="C184" s="20" t="n"/>
      <c r="D184" s="23">
        <f>IF(C184="","",IFERROR(_xlfn.XLOOKUP(C184,tblInventario[ID del soporte],tblInventario[Tipo],""),""))</f>
        <v/>
      </c>
      <c r="E184" s="20" t="n"/>
      <c r="F184" s="22" t="n"/>
      <c r="G184" s="20" t="n"/>
      <c r="H184" s="21" t="n"/>
      <c r="I184" s="22" t="n"/>
      <c r="J184" s="20" t="n"/>
      <c r="K184" s="21" t="n"/>
      <c r="L184" s="20" t="n"/>
      <c r="M184" s="22" t="n"/>
      <c r="N184" s="20" t="n"/>
      <c r="O184" s="20" t="n"/>
      <c r="P184" s="22" t="n"/>
      <c r="Q184" s="26" t="n"/>
      <c r="R184" s="23">
        <f>IF(A184="","",IF(I184="","Abierto",IF(D184="Tarjeta",IF(OR(L184&lt;&gt;"Sí",N184&lt;&gt;"Sí",O184&lt;&gt;"Sí"),"Pendiente","Cerrado"),IF(D184="Batería","Cerrado","Revisar"))))</f>
        <v/>
      </c>
      <c r="S184" s="25">
        <f>IF(A184="","",IF(B184="","Falta la sesión",IF(C184="","Falta el soporte",IF(D184="","Soporte no encontrado",IF(COUNTIFS(tblControl[ID del soporte],C184,tblControl[Estado del control],"Abierto")&gt;1,"Soporte asignado más de una vez",IF(F184="","Falta la fecha de salida",IF(AND(I184&lt;&gt;"",I184&lt;F184),"La devolución es anterior a la salida",IF(AND(D184="Batería",G184=""),"Falta la carga de salida",IF(AND(D184="Batería",G184&lt;Resumen!$C$3),"Carga de salida inferior al mínimo",IF(AND(D184="Tarjeta",H184=""),"Falta el espacio libre de salida",IF(AND(D184="Tarjeta",I184&lt;&gt;"",L184&lt;&gt;"Sí"),"Descarga pendiente",IF(AND(D184="Tarjeta",L184="Sí",N184&lt;&gt;"Sí"),"Verificación pendiente",IF(AND(D184="Tarjeta",N184="Sí",O184&lt;&gt;"Sí"),"Borrado pendiente",IF(Q184&lt;&gt;"","Revisar incidencia","Correcto"))))))))))))))</f>
        <v/>
      </c>
      <c r="T184" s="20" t="n"/>
    </row>
    <row r="185" ht="22" customHeight="1">
      <c r="A185" s="20" t="n"/>
      <c r="B185" s="20" t="n"/>
      <c r="C185" s="20" t="n"/>
      <c r="D185" s="23">
        <f>IF(C185="","",IFERROR(_xlfn.XLOOKUP(C185,tblInventario[ID del soporte],tblInventario[Tipo],""),""))</f>
        <v/>
      </c>
      <c r="E185" s="20" t="n"/>
      <c r="F185" s="22" t="n"/>
      <c r="G185" s="20" t="n"/>
      <c r="H185" s="21" t="n"/>
      <c r="I185" s="22" t="n"/>
      <c r="J185" s="20" t="n"/>
      <c r="K185" s="21" t="n"/>
      <c r="L185" s="20" t="n"/>
      <c r="M185" s="22" t="n"/>
      <c r="N185" s="20" t="n"/>
      <c r="O185" s="20" t="n"/>
      <c r="P185" s="22" t="n"/>
      <c r="Q185" s="26" t="n"/>
      <c r="R185" s="23">
        <f>IF(A185="","",IF(I185="","Abierto",IF(D185="Tarjeta",IF(OR(L185&lt;&gt;"Sí",N185&lt;&gt;"Sí",O185&lt;&gt;"Sí"),"Pendiente","Cerrado"),IF(D185="Batería","Cerrado","Revisar"))))</f>
        <v/>
      </c>
      <c r="S185" s="25">
        <f>IF(A185="","",IF(B185="","Falta la sesión",IF(C185="","Falta el soporte",IF(D185="","Soporte no encontrado",IF(COUNTIFS(tblControl[ID del soporte],C185,tblControl[Estado del control],"Abierto")&gt;1,"Soporte asignado más de una vez",IF(F185="","Falta la fecha de salida",IF(AND(I185&lt;&gt;"",I185&lt;F185),"La devolución es anterior a la salida",IF(AND(D185="Batería",G185=""),"Falta la carga de salida",IF(AND(D185="Batería",G185&lt;Resumen!$C$3),"Carga de salida inferior al mínimo",IF(AND(D185="Tarjeta",H185=""),"Falta el espacio libre de salida",IF(AND(D185="Tarjeta",I185&lt;&gt;"",L185&lt;&gt;"Sí"),"Descarga pendiente",IF(AND(D185="Tarjeta",L185="Sí",N185&lt;&gt;"Sí"),"Verificación pendiente",IF(AND(D185="Tarjeta",N185="Sí",O185&lt;&gt;"Sí"),"Borrado pendiente",IF(Q185&lt;&gt;"","Revisar incidencia","Correcto"))))))))))))))</f>
        <v/>
      </c>
      <c r="T185" s="20" t="n"/>
    </row>
    <row r="186" ht="22" customHeight="1">
      <c r="A186" s="20" t="n"/>
      <c r="B186" s="20" t="n"/>
      <c r="C186" s="20" t="n"/>
      <c r="D186" s="23">
        <f>IF(C186="","",IFERROR(_xlfn.XLOOKUP(C186,tblInventario[ID del soporte],tblInventario[Tipo],""),""))</f>
        <v/>
      </c>
      <c r="E186" s="20" t="n"/>
      <c r="F186" s="22" t="n"/>
      <c r="G186" s="20" t="n"/>
      <c r="H186" s="21" t="n"/>
      <c r="I186" s="22" t="n"/>
      <c r="J186" s="20" t="n"/>
      <c r="K186" s="21" t="n"/>
      <c r="L186" s="20" t="n"/>
      <c r="M186" s="22" t="n"/>
      <c r="N186" s="20" t="n"/>
      <c r="O186" s="20" t="n"/>
      <c r="P186" s="22" t="n"/>
      <c r="Q186" s="26" t="n"/>
      <c r="R186" s="23">
        <f>IF(A186="","",IF(I186="","Abierto",IF(D186="Tarjeta",IF(OR(L186&lt;&gt;"Sí",N186&lt;&gt;"Sí",O186&lt;&gt;"Sí"),"Pendiente","Cerrado"),IF(D186="Batería","Cerrado","Revisar"))))</f>
        <v/>
      </c>
      <c r="S186" s="25">
        <f>IF(A186="","",IF(B186="","Falta la sesión",IF(C186="","Falta el soporte",IF(D186="","Soporte no encontrado",IF(COUNTIFS(tblControl[ID del soporte],C186,tblControl[Estado del control],"Abierto")&gt;1,"Soporte asignado más de una vez",IF(F186="","Falta la fecha de salida",IF(AND(I186&lt;&gt;"",I186&lt;F186),"La devolución es anterior a la salida",IF(AND(D186="Batería",G186=""),"Falta la carga de salida",IF(AND(D186="Batería",G186&lt;Resumen!$C$3),"Carga de salida inferior al mínimo",IF(AND(D186="Tarjeta",H186=""),"Falta el espacio libre de salida",IF(AND(D186="Tarjeta",I186&lt;&gt;"",L186&lt;&gt;"Sí"),"Descarga pendiente",IF(AND(D186="Tarjeta",L186="Sí",N186&lt;&gt;"Sí"),"Verificación pendiente",IF(AND(D186="Tarjeta",N186="Sí",O186&lt;&gt;"Sí"),"Borrado pendiente",IF(Q186&lt;&gt;"","Revisar incidencia","Correcto"))))))))))))))</f>
        <v/>
      </c>
      <c r="T186" s="20" t="n"/>
    </row>
    <row r="187" ht="22" customHeight="1">
      <c r="A187" s="20" t="n"/>
      <c r="B187" s="20" t="n"/>
      <c r="C187" s="20" t="n"/>
      <c r="D187" s="23">
        <f>IF(C187="","",IFERROR(_xlfn.XLOOKUP(C187,tblInventario[ID del soporte],tblInventario[Tipo],""),""))</f>
        <v/>
      </c>
      <c r="E187" s="20" t="n"/>
      <c r="F187" s="22" t="n"/>
      <c r="G187" s="20" t="n"/>
      <c r="H187" s="21" t="n"/>
      <c r="I187" s="22" t="n"/>
      <c r="J187" s="20" t="n"/>
      <c r="K187" s="21" t="n"/>
      <c r="L187" s="20" t="n"/>
      <c r="M187" s="22" t="n"/>
      <c r="N187" s="20" t="n"/>
      <c r="O187" s="20" t="n"/>
      <c r="P187" s="22" t="n"/>
      <c r="Q187" s="26" t="n"/>
      <c r="R187" s="23">
        <f>IF(A187="","",IF(I187="","Abierto",IF(D187="Tarjeta",IF(OR(L187&lt;&gt;"Sí",N187&lt;&gt;"Sí",O187&lt;&gt;"Sí"),"Pendiente","Cerrado"),IF(D187="Batería","Cerrado","Revisar"))))</f>
        <v/>
      </c>
      <c r="S187" s="25">
        <f>IF(A187="","",IF(B187="","Falta la sesión",IF(C187="","Falta el soporte",IF(D187="","Soporte no encontrado",IF(COUNTIFS(tblControl[ID del soporte],C187,tblControl[Estado del control],"Abierto")&gt;1,"Soporte asignado más de una vez",IF(F187="","Falta la fecha de salida",IF(AND(I187&lt;&gt;"",I187&lt;F187),"La devolución es anterior a la salida",IF(AND(D187="Batería",G187=""),"Falta la carga de salida",IF(AND(D187="Batería",G187&lt;Resumen!$C$3),"Carga de salida inferior al mínimo",IF(AND(D187="Tarjeta",H187=""),"Falta el espacio libre de salida",IF(AND(D187="Tarjeta",I187&lt;&gt;"",L187&lt;&gt;"Sí"),"Descarga pendiente",IF(AND(D187="Tarjeta",L187="Sí",N187&lt;&gt;"Sí"),"Verificación pendiente",IF(AND(D187="Tarjeta",N187="Sí",O187&lt;&gt;"Sí"),"Borrado pendiente",IF(Q187&lt;&gt;"","Revisar incidencia","Correcto"))))))))))))))</f>
        <v/>
      </c>
      <c r="T187" s="20" t="n"/>
    </row>
    <row r="188" ht="22" customHeight="1">
      <c r="A188" s="20" t="n"/>
      <c r="B188" s="20" t="n"/>
      <c r="C188" s="20" t="n"/>
      <c r="D188" s="23">
        <f>IF(C188="","",IFERROR(_xlfn.XLOOKUP(C188,tblInventario[ID del soporte],tblInventario[Tipo],""),""))</f>
        <v/>
      </c>
      <c r="E188" s="20" t="n"/>
      <c r="F188" s="22" t="n"/>
      <c r="G188" s="20" t="n"/>
      <c r="H188" s="21" t="n"/>
      <c r="I188" s="22" t="n"/>
      <c r="J188" s="20" t="n"/>
      <c r="K188" s="21" t="n"/>
      <c r="L188" s="20" t="n"/>
      <c r="M188" s="22" t="n"/>
      <c r="N188" s="20" t="n"/>
      <c r="O188" s="20" t="n"/>
      <c r="P188" s="22" t="n"/>
      <c r="Q188" s="26" t="n"/>
      <c r="R188" s="23">
        <f>IF(A188="","",IF(I188="","Abierto",IF(D188="Tarjeta",IF(OR(L188&lt;&gt;"Sí",N188&lt;&gt;"Sí",O188&lt;&gt;"Sí"),"Pendiente","Cerrado"),IF(D188="Batería","Cerrado","Revisar"))))</f>
        <v/>
      </c>
      <c r="S188" s="25">
        <f>IF(A188="","",IF(B188="","Falta la sesión",IF(C188="","Falta el soporte",IF(D188="","Soporte no encontrado",IF(COUNTIFS(tblControl[ID del soporte],C188,tblControl[Estado del control],"Abierto")&gt;1,"Soporte asignado más de una vez",IF(F188="","Falta la fecha de salida",IF(AND(I188&lt;&gt;"",I188&lt;F188),"La devolución es anterior a la salida",IF(AND(D188="Batería",G188=""),"Falta la carga de salida",IF(AND(D188="Batería",G188&lt;Resumen!$C$3),"Carga de salida inferior al mínimo",IF(AND(D188="Tarjeta",H188=""),"Falta el espacio libre de salida",IF(AND(D188="Tarjeta",I188&lt;&gt;"",L188&lt;&gt;"Sí"),"Descarga pendiente",IF(AND(D188="Tarjeta",L188="Sí",N188&lt;&gt;"Sí"),"Verificación pendiente",IF(AND(D188="Tarjeta",N188="Sí",O188&lt;&gt;"Sí"),"Borrado pendiente",IF(Q188&lt;&gt;"","Revisar incidencia","Correcto"))))))))))))))</f>
        <v/>
      </c>
      <c r="T188" s="20" t="n"/>
    </row>
    <row r="189" ht="22" customHeight="1">
      <c r="A189" s="20" t="n"/>
      <c r="B189" s="20" t="n"/>
      <c r="C189" s="20" t="n"/>
      <c r="D189" s="23">
        <f>IF(C189="","",IFERROR(_xlfn.XLOOKUP(C189,tblInventario[ID del soporte],tblInventario[Tipo],""),""))</f>
        <v/>
      </c>
      <c r="E189" s="20" t="n"/>
      <c r="F189" s="22" t="n"/>
      <c r="G189" s="20" t="n"/>
      <c r="H189" s="21" t="n"/>
      <c r="I189" s="22" t="n"/>
      <c r="J189" s="20" t="n"/>
      <c r="K189" s="21" t="n"/>
      <c r="L189" s="20" t="n"/>
      <c r="M189" s="22" t="n"/>
      <c r="N189" s="20" t="n"/>
      <c r="O189" s="20" t="n"/>
      <c r="P189" s="22" t="n"/>
      <c r="Q189" s="26" t="n"/>
      <c r="R189" s="23">
        <f>IF(A189="","",IF(I189="","Abierto",IF(D189="Tarjeta",IF(OR(L189&lt;&gt;"Sí",N189&lt;&gt;"Sí",O189&lt;&gt;"Sí"),"Pendiente","Cerrado"),IF(D189="Batería","Cerrado","Revisar"))))</f>
        <v/>
      </c>
      <c r="S189" s="25">
        <f>IF(A189="","",IF(B189="","Falta la sesión",IF(C189="","Falta el soporte",IF(D189="","Soporte no encontrado",IF(COUNTIFS(tblControl[ID del soporte],C189,tblControl[Estado del control],"Abierto")&gt;1,"Soporte asignado más de una vez",IF(F189="","Falta la fecha de salida",IF(AND(I189&lt;&gt;"",I189&lt;F189),"La devolución es anterior a la salida",IF(AND(D189="Batería",G189=""),"Falta la carga de salida",IF(AND(D189="Batería",G189&lt;Resumen!$C$3),"Carga de salida inferior al mínimo",IF(AND(D189="Tarjeta",H189=""),"Falta el espacio libre de salida",IF(AND(D189="Tarjeta",I189&lt;&gt;"",L189&lt;&gt;"Sí"),"Descarga pendiente",IF(AND(D189="Tarjeta",L189="Sí",N189&lt;&gt;"Sí"),"Verificación pendiente",IF(AND(D189="Tarjeta",N189="Sí",O189&lt;&gt;"Sí"),"Borrado pendiente",IF(Q189&lt;&gt;"","Revisar incidencia","Correcto"))))))))))))))</f>
        <v/>
      </c>
      <c r="T189" s="20" t="n"/>
    </row>
    <row r="190" ht="22" customHeight="1">
      <c r="A190" s="20" t="n"/>
      <c r="B190" s="20" t="n"/>
      <c r="C190" s="20" t="n"/>
      <c r="D190" s="23">
        <f>IF(C190="","",IFERROR(_xlfn.XLOOKUP(C190,tblInventario[ID del soporte],tblInventario[Tipo],""),""))</f>
        <v/>
      </c>
      <c r="E190" s="20" t="n"/>
      <c r="F190" s="22" t="n"/>
      <c r="G190" s="20" t="n"/>
      <c r="H190" s="21" t="n"/>
      <c r="I190" s="22" t="n"/>
      <c r="J190" s="20" t="n"/>
      <c r="K190" s="21" t="n"/>
      <c r="L190" s="20" t="n"/>
      <c r="M190" s="22" t="n"/>
      <c r="N190" s="20" t="n"/>
      <c r="O190" s="20" t="n"/>
      <c r="P190" s="22" t="n"/>
      <c r="Q190" s="26" t="n"/>
      <c r="R190" s="23">
        <f>IF(A190="","",IF(I190="","Abierto",IF(D190="Tarjeta",IF(OR(L190&lt;&gt;"Sí",N190&lt;&gt;"Sí",O190&lt;&gt;"Sí"),"Pendiente","Cerrado"),IF(D190="Batería","Cerrado","Revisar"))))</f>
        <v/>
      </c>
      <c r="S190" s="25">
        <f>IF(A190="","",IF(B190="","Falta la sesión",IF(C190="","Falta el soporte",IF(D190="","Soporte no encontrado",IF(COUNTIFS(tblControl[ID del soporte],C190,tblControl[Estado del control],"Abierto")&gt;1,"Soporte asignado más de una vez",IF(F190="","Falta la fecha de salida",IF(AND(I190&lt;&gt;"",I190&lt;F190),"La devolución es anterior a la salida",IF(AND(D190="Batería",G190=""),"Falta la carga de salida",IF(AND(D190="Batería",G190&lt;Resumen!$C$3),"Carga de salida inferior al mínimo",IF(AND(D190="Tarjeta",H190=""),"Falta el espacio libre de salida",IF(AND(D190="Tarjeta",I190&lt;&gt;"",L190&lt;&gt;"Sí"),"Descarga pendiente",IF(AND(D190="Tarjeta",L190="Sí",N190&lt;&gt;"Sí"),"Verificación pendiente",IF(AND(D190="Tarjeta",N190="Sí",O190&lt;&gt;"Sí"),"Borrado pendiente",IF(Q190&lt;&gt;"","Revisar incidencia","Correcto"))))))))))))))</f>
        <v/>
      </c>
      <c r="T190" s="20" t="n"/>
    </row>
    <row r="191" ht="22" customHeight="1">
      <c r="A191" s="20" t="n"/>
      <c r="B191" s="20" t="n"/>
      <c r="C191" s="20" t="n"/>
      <c r="D191" s="23">
        <f>IF(C191="","",IFERROR(_xlfn.XLOOKUP(C191,tblInventario[ID del soporte],tblInventario[Tipo],""),""))</f>
        <v/>
      </c>
      <c r="E191" s="20" t="n"/>
      <c r="F191" s="22" t="n"/>
      <c r="G191" s="20" t="n"/>
      <c r="H191" s="21" t="n"/>
      <c r="I191" s="22" t="n"/>
      <c r="J191" s="20" t="n"/>
      <c r="K191" s="21" t="n"/>
      <c r="L191" s="20" t="n"/>
      <c r="M191" s="22" t="n"/>
      <c r="N191" s="20" t="n"/>
      <c r="O191" s="20" t="n"/>
      <c r="P191" s="22" t="n"/>
      <c r="Q191" s="26" t="n"/>
      <c r="R191" s="23">
        <f>IF(A191="","",IF(I191="","Abierto",IF(D191="Tarjeta",IF(OR(L191&lt;&gt;"Sí",N191&lt;&gt;"Sí",O191&lt;&gt;"Sí"),"Pendiente","Cerrado"),IF(D191="Batería","Cerrado","Revisar"))))</f>
        <v/>
      </c>
      <c r="S191" s="25">
        <f>IF(A191="","",IF(B191="","Falta la sesión",IF(C191="","Falta el soporte",IF(D191="","Soporte no encontrado",IF(COUNTIFS(tblControl[ID del soporte],C191,tblControl[Estado del control],"Abierto")&gt;1,"Soporte asignado más de una vez",IF(F191="","Falta la fecha de salida",IF(AND(I191&lt;&gt;"",I191&lt;F191),"La devolución es anterior a la salida",IF(AND(D191="Batería",G191=""),"Falta la carga de salida",IF(AND(D191="Batería",G191&lt;Resumen!$C$3),"Carga de salida inferior al mínimo",IF(AND(D191="Tarjeta",H191=""),"Falta el espacio libre de salida",IF(AND(D191="Tarjeta",I191&lt;&gt;"",L191&lt;&gt;"Sí"),"Descarga pendiente",IF(AND(D191="Tarjeta",L191="Sí",N191&lt;&gt;"Sí"),"Verificación pendiente",IF(AND(D191="Tarjeta",N191="Sí",O191&lt;&gt;"Sí"),"Borrado pendiente",IF(Q191&lt;&gt;"","Revisar incidencia","Correcto"))))))))))))))</f>
        <v/>
      </c>
      <c r="T191" s="20" t="n"/>
    </row>
    <row r="192" ht="22" customHeight="1">
      <c r="A192" s="20" t="n"/>
      <c r="B192" s="20" t="n"/>
      <c r="C192" s="20" t="n"/>
      <c r="D192" s="23">
        <f>IF(C192="","",IFERROR(_xlfn.XLOOKUP(C192,tblInventario[ID del soporte],tblInventario[Tipo],""),""))</f>
        <v/>
      </c>
      <c r="E192" s="20" t="n"/>
      <c r="F192" s="22" t="n"/>
      <c r="G192" s="20" t="n"/>
      <c r="H192" s="21" t="n"/>
      <c r="I192" s="22" t="n"/>
      <c r="J192" s="20" t="n"/>
      <c r="K192" s="21" t="n"/>
      <c r="L192" s="20" t="n"/>
      <c r="M192" s="22" t="n"/>
      <c r="N192" s="20" t="n"/>
      <c r="O192" s="20" t="n"/>
      <c r="P192" s="22" t="n"/>
      <c r="Q192" s="26" t="n"/>
      <c r="R192" s="23">
        <f>IF(A192="","",IF(I192="","Abierto",IF(D192="Tarjeta",IF(OR(L192&lt;&gt;"Sí",N192&lt;&gt;"Sí",O192&lt;&gt;"Sí"),"Pendiente","Cerrado"),IF(D192="Batería","Cerrado","Revisar"))))</f>
        <v/>
      </c>
      <c r="S192" s="25">
        <f>IF(A192="","",IF(B192="","Falta la sesión",IF(C192="","Falta el soporte",IF(D192="","Soporte no encontrado",IF(COUNTIFS(tblControl[ID del soporte],C192,tblControl[Estado del control],"Abierto")&gt;1,"Soporte asignado más de una vez",IF(F192="","Falta la fecha de salida",IF(AND(I192&lt;&gt;"",I192&lt;F192),"La devolución es anterior a la salida",IF(AND(D192="Batería",G192=""),"Falta la carga de salida",IF(AND(D192="Batería",G192&lt;Resumen!$C$3),"Carga de salida inferior al mínimo",IF(AND(D192="Tarjeta",H192=""),"Falta el espacio libre de salida",IF(AND(D192="Tarjeta",I192&lt;&gt;"",L192&lt;&gt;"Sí"),"Descarga pendiente",IF(AND(D192="Tarjeta",L192="Sí",N192&lt;&gt;"Sí"),"Verificación pendiente",IF(AND(D192="Tarjeta",N192="Sí",O192&lt;&gt;"Sí"),"Borrado pendiente",IF(Q192&lt;&gt;"","Revisar incidencia","Correcto"))))))))))))))</f>
        <v/>
      </c>
      <c r="T192" s="20" t="n"/>
    </row>
    <row r="193" ht="22" customHeight="1">
      <c r="A193" s="20" t="n"/>
      <c r="B193" s="20" t="n"/>
      <c r="C193" s="20" t="n"/>
      <c r="D193" s="23">
        <f>IF(C193="","",IFERROR(_xlfn.XLOOKUP(C193,tblInventario[ID del soporte],tblInventario[Tipo],""),""))</f>
        <v/>
      </c>
      <c r="E193" s="20" t="n"/>
      <c r="F193" s="22" t="n"/>
      <c r="G193" s="20" t="n"/>
      <c r="H193" s="21" t="n"/>
      <c r="I193" s="22" t="n"/>
      <c r="J193" s="20" t="n"/>
      <c r="K193" s="21" t="n"/>
      <c r="L193" s="20" t="n"/>
      <c r="M193" s="22" t="n"/>
      <c r="N193" s="20" t="n"/>
      <c r="O193" s="20" t="n"/>
      <c r="P193" s="22" t="n"/>
      <c r="Q193" s="26" t="n"/>
      <c r="R193" s="23">
        <f>IF(A193="","",IF(I193="","Abierto",IF(D193="Tarjeta",IF(OR(L193&lt;&gt;"Sí",N193&lt;&gt;"Sí",O193&lt;&gt;"Sí"),"Pendiente","Cerrado"),IF(D193="Batería","Cerrado","Revisar"))))</f>
        <v/>
      </c>
      <c r="S193" s="25">
        <f>IF(A193="","",IF(B193="","Falta la sesión",IF(C193="","Falta el soporte",IF(D193="","Soporte no encontrado",IF(COUNTIFS(tblControl[ID del soporte],C193,tblControl[Estado del control],"Abierto")&gt;1,"Soporte asignado más de una vez",IF(F193="","Falta la fecha de salida",IF(AND(I193&lt;&gt;"",I193&lt;F193),"La devolución es anterior a la salida",IF(AND(D193="Batería",G193=""),"Falta la carga de salida",IF(AND(D193="Batería",G193&lt;Resumen!$C$3),"Carga de salida inferior al mínimo",IF(AND(D193="Tarjeta",H193=""),"Falta el espacio libre de salida",IF(AND(D193="Tarjeta",I193&lt;&gt;"",L193&lt;&gt;"Sí"),"Descarga pendiente",IF(AND(D193="Tarjeta",L193="Sí",N193&lt;&gt;"Sí"),"Verificación pendiente",IF(AND(D193="Tarjeta",N193="Sí",O193&lt;&gt;"Sí"),"Borrado pendiente",IF(Q193&lt;&gt;"","Revisar incidencia","Correcto"))))))))))))))</f>
        <v/>
      </c>
      <c r="T193" s="20" t="n"/>
    </row>
    <row r="194" ht="22" customHeight="1">
      <c r="A194" s="20" t="n"/>
      <c r="B194" s="20" t="n"/>
      <c r="C194" s="20" t="n"/>
      <c r="D194" s="23">
        <f>IF(C194="","",IFERROR(_xlfn.XLOOKUP(C194,tblInventario[ID del soporte],tblInventario[Tipo],""),""))</f>
        <v/>
      </c>
      <c r="E194" s="20" t="n"/>
      <c r="F194" s="22" t="n"/>
      <c r="G194" s="20" t="n"/>
      <c r="H194" s="21" t="n"/>
      <c r="I194" s="22" t="n"/>
      <c r="J194" s="20" t="n"/>
      <c r="K194" s="21" t="n"/>
      <c r="L194" s="20" t="n"/>
      <c r="M194" s="22" t="n"/>
      <c r="N194" s="20" t="n"/>
      <c r="O194" s="20" t="n"/>
      <c r="P194" s="22" t="n"/>
      <c r="Q194" s="26" t="n"/>
      <c r="R194" s="23">
        <f>IF(A194="","",IF(I194="","Abierto",IF(D194="Tarjeta",IF(OR(L194&lt;&gt;"Sí",N194&lt;&gt;"Sí",O194&lt;&gt;"Sí"),"Pendiente","Cerrado"),IF(D194="Batería","Cerrado","Revisar"))))</f>
        <v/>
      </c>
      <c r="S194" s="25">
        <f>IF(A194="","",IF(B194="","Falta la sesión",IF(C194="","Falta el soporte",IF(D194="","Soporte no encontrado",IF(COUNTIFS(tblControl[ID del soporte],C194,tblControl[Estado del control],"Abierto")&gt;1,"Soporte asignado más de una vez",IF(F194="","Falta la fecha de salida",IF(AND(I194&lt;&gt;"",I194&lt;F194),"La devolución es anterior a la salida",IF(AND(D194="Batería",G194=""),"Falta la carga de salida",IF(AND(D194="Batería",G194&lt;Resumen!$C$3),"Carga de salida inferior al mínimo",IF(AND(D194="Tarjeta",H194=""),"Falta el espacio libre de salida",IF(AND(D194="Tarjeta",I194&lt;&gt;"",L194&lt;&gt;"Sí"),"Descarga pendiente",IF(AND(D194="Tarjeta",L194="Sí",N194&lt;&gt;"Sí"),"Verificación pendiente",IF(AND(D194="Tarjeta",N194="Sí",O194&lt;&gt;"Sí"),"Borrado pendiente",IF(Q194&lt;&gt;"","Revisar incidencia","Correcto"))))))))))))))</f>
        <v/>
      </c>
      <c r="T194" s="20" t="n"/>
    </row>
    <row r="195" ht="22" customHeight="1">
      <c r="A195" s="20" t="n"/>
      <c r="B195" s="20" t="n"/>
      <c r="C195" s="20" t="n"/>
      <c r="D195" s="23">
        <f>IF(C195="","",IFERROR(_xlfn.XLOOKUP(C195,tblInventario[ID del soporte],tblInventario[Tipo],""),""))</f>
        <v/>
      </c>
      <c r="E195" s="20" t="n"/>
      <c r="F195" s="22" t="n"/>
      <c r="G195" s="20" t="n"/>
      <c r="H195" s="21" t="n"/>
      <c r="I195" s="22" t="n"/>
      <c r="J195" s="20" t="n"/>
      <c r="K195" s="21" t="n"/>
      <c r="L195" s="20" t="n"/>
      <c r="M195" s="22" t="n"/>
      <c r="N195" s="20" t="n"/>
      <c r="O195" s="20" t="n"/>
      <c r="P195" s="22" t="n"/>
      <c r="Q195" s="26" t="n"/>
      <c r="R195" s="23">
        <f>IF(A195="","",IF(I195="","Abierto",IF(D195="Tarjeta",IF(OR(L195&lt;&gt;"Sí",N195&lt;&gt;"Sí",O195&lt;&gt;"Sí"),"Pendiente","Cerrado"),IF(D195="Batería","Cerrado","Revisar"))))</f>
        <v/>
      </c>
      <c r="S195" s="25">
        <f>IF(A195="","",IF(B195="","Falta la sesión",IF(C195="","Falta el soporte",IF(D195="","Soporte no encontrado",IF(COUNTIFS(tblControl[ID del soporte],C195,tblControl[Estado del control],"Abierto")&gt;1,"Soporte asignado más de una vez",IF(F195="","Falta la fecha de salida",IF(AND(I195&lt;&gt;"",I195&lt;F195),"La devolución es anterior a la salida",IF(AND(D195="Batería",G195=""),"Falta la carga de salida",IF(AND(D195="Batería",G195&lt;Resumen!$C$3),"Carga de salida inferior al mínimo",IF(AND(D195="Tarjeta",H195=""),"Falta el espacio libre de salida",IF(AND(D195="Tarjeta",I195&lt;&gt;"",L195&lt;&gt;"Sí"),"Descarga pendiente",IF(AND(D195="Tarjeta",L195="Sí",N195&lt;&gt;"Sí"),"Verificación pendiente",IF(AND(D195="Tarjeta",N195="Sí",O195&lt;&gt;"Sí"),"Borrado pendiente",IF(Q195&lt;&gt;"","Revisar incidencia","Correcto"))))))))))))))</f>
        <v/>
      </c>
      <c r="T195" s="20" t="n"/>
    </row>
    <row r="196" ht="22" customHeight="1">
      <c r="A196" s="20" t="n"/>
      <c r="B196" s="20" t="n"/>
      <c r="C196" s="20" t="n"/>
      <c r="D196" s="23">
        <f>IF(C196="","",IFERROR(_xlfn.XLOOKUP(C196,tblInventario[ID del soporte],tblInventario[Tipo],""),""))</f>
        <v/>
      </c>
      <c r="E196" s="20" t="n"/>
      <c r="F196" s="22" t="n"/>
      <c r="G196" s="20" t="n"/>
      <c r="H196" s="21" t="n"/>
      <c r="I196" s="22" t="n"/>
      <c r="J196" s="20" t="n"/>
      <c r="K196" s="21" t="n"/>
      <c r="L196" s="20" t="n"/>
      <c r="M196" s="22" t="n"/>
      <c r="N196" s="20" t="n"/>
      <c r="O196" s="20" t="n"/>
      <c r="P196" s="22" t="n"/>
      <c r="Q196" s="26" t="n"/>
      <c r="R196" s="23">
        <f>IF(A196="","",IF(I196="","Abierto",IF(D196="Tarjeta",IF(OR(L196&lt;&gt;"Sí",N196&lt;&gt;"Sí",O196&lt;&gt;"Sí"),"Pendiente","Cerrado"),IF(D196="Batería","Cerrado","Revisar"))))</f>
        <v/>
      </c>
      <c r="S196" s="25">
        <f>IF(A196="","",IF(B196="","Falta la sesión",IF(C196="","Falta el soporte",IF(D196="","Soporte no encontrado",IF(COUNTIFS(tblControl[ID del soporte],C196,tblControl[Estado del control],"Abierto")&gt;1,"Soporte asignado más de una vez",IF(F196="","Falta la fecha de salida",IF(AND(I196&lt;&gt;"",I196&lt;F196),"La devolución es anterior a la salida",IF(AND(D196="Batería",G196=""),"Falta la carga de salida",IF(AND(D196="Batería",G196&lt;Resumen!$C$3),"Carga de salida inferior al mínimo",IF(AND(D196="Tarjeta",H196=""),"Falta el espacio libre de salida",IF(AND(D196="Tarjeta",I196&lt;&gt;"",L196&lt;&gt;"Sí"),"Descarga pendiente",IF(AND(D196="Tarjeta",L196="Sí",N196&lt;&gt;"Sí"),"Verificación pendiente",IF(AND(D196="Tarjeta",N196="Sí",O196&lt;&gt;"Sí"),"Borrado pendiente",IF(Q196&lt;&gt;"","Revisar incidencia","Correcto"))))))))))))))</f>
        <v/>
      </c>
      <c r="T196" s="20" t="n"/>
    </row>
    <row r="197" ht="22" customHeight="1">
      <c r="A197" s="20" t="n"/>
      <c r="B197" s="20" t="n"/>
      <c r="C197" s="20" t="n"/>
      <c r="D197" s="23">
        <f>IF(C197="","",IFERROR(_xlfn.XLOOKUP(C197,tblInventario[ID del soporte],tblInventario[Tipo],""),""))</f>
        <v/>
      </c>
      <c r="E197" s="20" t="n"/>
      <c r="F197" s="22" t="n"/>
      <c r="G197" s="20" t="n"/>
      <c r="H197" s="21" t="n"/>
      <c r="I197" s="22" t="n"/>
      <c r="J197" s="20" t="n"/>
      <c r="K197" s="21" t="n"/>
      <c r="L197" s="20" t="n"/>
      <c r="M197" s="22" t="n"/>
      <c r="N197" s="20" t="n"/>
      <c r="O197" s="20" t="n"/>
      <c r="P197" s="22" t="n"/>
      <c r="Q197" s="26" t="n"/>
      <c r="R197" s="23">
        <f>IF(A197="","",IF(I197="","Abierto",IF(D197="Tarjeta",IF(OR(L197&lt;&gt;"Sí",N197&lt;&gt;"Sí",O197&lt;&gt;"Sí"),"Pendiente","Cerrado"),IF(D197="Batería","Cerrado","Revisar"))))</f>
        <v/>
      </c>
      <c r="S197" s="25">
        <f>IF(A197="","",IF(B197="","Falta la sesión",IF(C197="","Falta el soporte",IF(D197="","Soporte no encontrado",IF(COUNTIFS(tblControl[ID del soporte],C197,tblControl[Estado del control],"Abierto")&gt;1,"Soporte asignado más de una vez",IF(F197="","Falta la fecha de salida",IF(AND(I197&lt;&gt;"",I197&lt;F197),"La devolución es anterior a la salida",IF(AND(D197="Batería",G197=""),"Falta la carga de salida",IF(AND(D197="Batería",G197&lt;Resumen!$C$3),"Carga de salida inferior al mínimo",IF(AND(D197="Tarjeta",H197=""),"Falta el espacio libre de salida",IF(AND(D197="Tarjeta",I197&lt;&gt;"",L197&lt;&gt;"Sí"),"Descarga pendiente",IF(AND(D197="Tarjeta",L197="Sí",N197&lt;&gt;"Sí"),"Verificación pendiente",IF(AND(D197="Tarjeta",N197="Sí",O197&lt;&gt;"Sí"),"Borrado pendiente",IF(Q197&lt;&gt;"","Revisar incidencia","Correcto"))))))))))))))</f>
        <v/>
      </c>
      <c r="T197" s="20" t="n"/>
    </row>
    <row r="198" ht="22" customHeight="1">
      <c r="A198" s="20" t="n"/>
      <c r="B198" s="20" t="n"/>
      <c r="C198" s="20" t="n"/>
      <c r="D198" s="23">
        <f>IF(C198="","",IFERROR(_xlfn.XLOOKUP(C198,tblInventario[ID del soporte],tblInventario[Tipo],""),""))</f>
        <v/>
      </c>
      <c r="E198" s="20" t="n"/>
      <c r="F198" s="22" t="n"/>
      <c r="G198" s="20" t="n"/>
      <c r="H198" s="21" t="n"/>
      <c r="I198" s="22" t="n"/>
      <c r="J198" s="20" t="n"/>
      <c r="K198" s="21" t="n"/>
      <c r="L198" s="20" t="n"/>
      <c r="M198" s="22" t="n"/>
      <c r="N198" s="20" t="n"/>
      <c r="O198" s="20" t="n"/>
      <c r="P198" s="22" t="n"/>
      <c r="Q198" s="26" t="n"/>
      <c r="R198" s="23">
        <f>IF(A198="","",IF(I198="","Abierto",IF(D198="Tarjeta",IF(OR(L198&lt;&gt;"Sí",N198&lt;&gt;"Sí",O198&lt;&gt;"Sí"),"Pendiente","Cerrado"),IF(D198="Batería","Cerrado","Revisar"))))</f>
        <v/>
      </c>
      <c r="S198" s="25">
        <f>IF(A198="","",IF(B198="","Falta la sesión",IF(C198="","Falta el soporte",IF(D198="","Soporte no encontrado",IF(COUNTIFS(tblControl[ID del soporte],C198,tblControl[Estado del control],"Abierto")&gt;1,"Soporte asignado más de una vez",IF(F198="","Falta la fecha de salida",IF(AND(I198&lt;&gt;"",I198&lt;F198),"La devolución es anterior a la salida",IF(AND(D198="Batería",G198=""),"Falta la carga de salida",IF(AND(D198="Batería",G198&lt;Resumen!$C$3),"Carga de salida inferior al mínimo",IF(AND(D198="Tarjeta",H198=""),"Falta el espacio libre de salida",IF(AND(D198="Tarjeta",I198&lt;&gt;"",L198&lt;&gt;"Sí"),"Descarga pendiente",IF(AND(D198="Tarjeta",L198="Sí",N198&lt;&gt;"Sí"),"Verificación pendiente",IF(AND(D198="Tarjeta",N198="Sí",O198&lt;&gt;"Sí"),"Borrado pendiente",IF(Q198&lt;&gt;"","Revisar incidencia","Correcto"))))))))))))))</f>
        <v/>
      </c>
      <c r="T198" s="20" t="n"/>
    </row>
    <row r="199" ht="22" customHeight="1">
      <c r="A199" s="20" t="n"/>
      <c r="B199" s="20" t="n"/>
      <c r="C199" s="20" t="n"/>
      <c r="D199" s="23">
        <f>IF(C199="","",IFERROR(_xlfn.XLOOKUP(C199,tblInventario[ID del soporte],tblInventario[Tipo],""),""))</f>
        <v/>
      </c>
      <c r="E199" s="20" t="n"/>
      <c r="F199" s="22" t="n"/>
      <c r="G199" s="20" t="n"/>
      <c r="H199" s="21" t="n"/>
      <c r="I199" s="22" t="n"/>
      <c r="J199" s="20" t="n"/>
      <c r="K199" s="21" t="n"/>
      <c r="L199" s="20" t="n"/>
      <c r="M199" s="22" t="n"/>
      <c r="N199" s="20" t="n"/>
      <c r="O199" s="20" t="n"/>
      <c r="P199" s="22" t="n"/>
      <c r="Q199" s="26" t="n"/>
      <c r="R199" s="23">
        <f>IF(A199="","",IF(I199="","Abierto",IF(D199="Tarjeta",IF(OR(L199&lt;&gt;"Sí",N199&lt;&gt;"Sí",O199&lt;&gt;"Sí"),"Pendiente","Cerrado"),IF(D199="Batería","Cerrado","Revisar"))))</f>
        <v/>
      </c>
      <c r="S199" s="25">
        <f>IF(A199="","",IF(B199="","Falta la sesión",IF(C199="","Falta el soporte",IF(D199="","Soporte no encontrado",IF(COUNTIFS(tblControl[ID del soporte],C199,tblControl[Estado del control],"Abierto")&gt;1,"Soporte asignado más de una vez",IF(F199="","Falta la fecha de salida",IF(AND(I199&lt;&gt;"",I199&lt;F199),"La devolución es anterior a la salida",IF(AND(D199="Batería",G199=""),"Falta la carga de salida",IF(AND(D199="Batería",G199&lt;Resumen!$C$3),"Carga de salida inferior al mínimo",IF(AND(D199="Tarjeta",H199=""),"Falta el espacio libre de salida",IF(AND(D199="Tarjeta",I199&lt;&gt;"",L199&lt;&gt;"Sí"),"Descarga pendiente",IF(AND(D199="Tarjeta",L199="Sí",N199&lt;&gt;"Sí"),"Verificación pendiente",IF(AND(D199="Tarjeta",N199="Sí",O199&lt;&gt;"Sí"),"Borrado pendiente",IF(Q199&lt;&gt;"","Revisar incidencia","Correcto"))))))))))))))</f>
        <v/>
      </c>
      <c r="T199" s="20" t="n"/>
    </row>
    <row r="200" ht="22" customHeight="1">
      <c r="A200" s="20" t="n"/>
      <c r="B200" s="20" t="n"/>
      <c r="C200" s="20" t="n"/>
      <c r="D200" s="23">
        <f>IF(C200="","",IFERROR(_xlfn.XLOOKUP(C200,tblInventario[ID del soporte],tblInventario[Tipo],""),""))</f>
        <v/>
      </c>
      <c r="E200" s="20" t="n"/>
      <c r="F200" s="22" t="n"/>
      <c r="G200" s="20" t="n"/>
      <c r="H200" s="21" t="n"/>
      <c r="I200" s="22" t="n"/>
      <c r="J200" s="20" t="n"/>
      <c r="K200" s="21" t="n"/>
      <c r="L200" s="20" t="n"/>
      <c r="M200" s="22" t="n"/>
      <c r="N200" s="20" t="n"/>
      <c r="O200" s="20" t="n"/>
      <c r="P200" s="22" t="n"/>
      <c r="Q200" s="26" t="n"/>
      <c r="R200" s="23">
        <f>IF(A200="","",IF(I200="","Abierto",IF(D200="Tarjeta",IF(OR(L200&lt;&gt;"Sí",N200&lt;&gt;"Sí",O200&lt;&gt;"Sí"),"Pendiente","Cerrado"),IF(D200="Batería","Cerrado","Revisar"))))</f>
        <v/>
      </c>
      <c r="S200" s="25">
        <f>IF(A200="","",IF(B200="","Falta la sesión",IF(C200="","Falta el soporte",IF(D200="","Soporte no encontrado",IF(COUNTIFS(tblControl[ID del soporte],C200,tblControl[Estado del control],"Abierto")&gt;1,"Soporte asignado más de una vez",IF(F200="","Falta la fecha de salida",IF(AND(I200&lt;&gt;"",I200&lt;F200),"La devolución es anterior a la salida",IF(AND(D200="Batería",G200=""),"Falta la carga de salida",IF(AND(D200="Batería",G200&lt;Resumen!$C$3),"Carga de salida inferior al mínimo",IF(AND(D200="Tarjeta",H200=""),"Falta el espacio libre de salida",IF(AND(D200="Tarjeta",I200&lt;&gt;"",L200&lt;&gt;"Sí"),"Descarga pendiente",IF(AND(D200="Tarjeta",L200="Sí",N200&lt;&gt;"Sí"),"Verificación pendiente",IF(AND(D200="Tarjeta",N200="Sí",O200&lt;&gt;"Sí"),"Borrado pendiente",IF(Q200&lt;&gt;"","Revisar incidencia","Correcto"))))))))))))))</f>
        <v/>
      </c>
      <c r="T200" s="20" t="n"/>
    </row>
    <row r="201" ht="22" customHeight="1">
      <c r="A201" s="20" t="n"/>
      <c r="B201" s="20" t="n"/>
      <c r="C201" s="20" t="n"/>
      <c r="D201" s="23">
        <f>IF(C201="","",IFERROR(_xlfn.XLOOKUP(C201,tblInventario[ID del soporte],tblInventario[Tipo],""),""))</f>
        <v/>
      </c>
      <c r="E201" s="20" t="n"/>
      <c r="F201" s="22" t="n"/>
      <c r="G201" s="20" t="n"/>
      <c r="H201" s="21" t="n"/>
      <c r="I201" s="22" t="n"/>
      <c r="J201" s="20" t="n"/>
      <c r="K201" s="21" t="n"/>
      <c r="L201" s="20" t="n"/>
      <c r="M201" s="22" t="n"/>
      <c r="N201" s="20" t="n"/>
      <c r="O201" s="20" t="n"/>
      <c r="P201" s="22" t="n"/>
      <c r="Q201" s="26" t="n"/>
      <c r="R201" s="23">
        <f>IF(A201="","",IF(I201="","Abierto",IF(D201="Tarjeta",IF(OR(L201&lt;&gt;"Sí",N201&lt;&gt;"Sí",O201&lt;&gt;"Sí"),"Pendiente","Cerrado"),IF(D201="Batería","Cerrado","Revisar"))))</f>
        <v/>
      </c>
      <c r="S201" s="25">
        <f>IF(A201="","",IF(B201="","Falta la sesión",IF(C201="","Falta el soporte",IF(D201="","Soporte no encontrado",IF(COUNTIFS(tblControl[ID del soporte],C201,tblControl[Estado del control],"Abierto")&gt;1,"Soporte asignado más de una vez",IF(F201="","Falta la fecha de salida",IF(AND(I201&lt;&gt;"",I201&lt;F201),"La devolución es anterior a la salida",IF(AND(D201="Batería",G201=""),"Falta la carga de salida",IF(AND(D201="Batería",G201&lt;Resumen!$C$3),"Carga de salida inferior al mínimo",IF(AND(D201="Tarjeta",H201=""),"Falta el espacio libre de salida",IF(AND(D201="Tarjeta",I201&lt;&gt;"",L201&lt;&gt;"Sí"),"Descarga pendiente",IF(AND(D201="Tarjeta",L201="Sí",N201&lt;&gt;"Sí"),"Verificación pendiente",IF(AND(D201="Tarjeta",N201="Sí",O201&lt;&gt;"Sí"),"Borrado pendiente",IF(Q201&lt;&gt;"","Revisar incidencia","Correcto"))))))))))))))</f>
        <v/>
      </c>
      <c r="T201" s="20" t="n"/>
    </row>
    <row r="202" ht="22" customHeight="1">
      <c r="A202" s="20" t="n"/>
      <c r="B202" s="20" t="n"/>
      <c r="C202" s="20" t="n"/>
      <c r="D202" s="23">
        <f>IF(C202="","",IFERROR(_xlfn.XLOOKUP(C202,tblInventario[ID del soporte],tblInventario[Tipo],""),""))</f>
        <v/>
      </c>
      <c r="E202" s="20" t="n"/>
      <c r="F202" s="22" t="n"/>
      <c r="G202" s="20" t="n"/>
      <c r="H202" s="21" t="n"/>
      <c r="I202" s="22" t="n"/>
      <c r="J202" s="20" t="n"/>
      <c r="K202" s="21" t="n"/>
      <c r="L202" s="20" t="n"/>
      <c r="M202" s="22" t="n"/>
      <c r="N202" s="20" t="n"/>
      <c r="O202" s="20" t="n"/>
      <c r="P202" s="22" t="n"/>
      <c r="Q202" s="26" t="n"/>
      <c r="R202" s="23">
        <f>IF(A202="","",IF(I202="","Abierto",IF(D202="Tarjeta",IF(OR(L202&lt;&gt;"Sí",N202&lt;&gt;"Sí",O202&lt;&gt;"Sí"),"Pendiente","Cerrado"),IF(D202="Batería","Cerrado","Revisar"))))</f>
        <v/>
      </c>
      <c r="S202" s="25">
        <f>IF(A202="","",IF(B202="","Falta la sesión",IF(C202="","Falta el soporte",IF(D202="","Soporte no encontrado",IF(COUNTIFS(tblControl[ID del soporte],C202,tblControl[Estado del control],"Abierto")&gt;1,"Soporte asignado más de una vez",IF(F202="","Falta la fecha de salida",IF(AND(I202&lt;&gt;"",I202&lt;F202),"La devolución es anterior a la salida",IF(AND(D202="Batería",G202=""),"Falta la carga de salida",IF(AND(D202="Batería",G202&lt;Resumen!$C$3),"Carga de salida inferior al mínimo",IF(AND(D202="Tarjeta",H202=""),"Falta el espacio libre de salida",IF(AND(D202="Tarjeta",I202&lt;&gt;"",L202&lt;&gt;"Sí"),"Descarga pendiente",IF(AND(D202="Tarjeta",L202="Sí",N202&lt;&gt;"Sí"),"Verificación pendiente",IF(AND(D202="Tarjeta",N202="Sí",O202&lt;&gt;"Sí"),"Borrado pendiente",IF(Q202&lt;&gt;"","Revisar incidencia","Correcto"))))))))))))))</f>
        <v/>
      </c>
      <c r="T202" s="20" t="n"/>
    </row>
    <row r="203" ht="22" customHeight="1">
      <c r="A203" s="20" t="n"/>
      <c r="B203" s="20" t="n"/>
      <c r="C203" s="20" t="n"/>
      <c r="D203" s="23">
        <f>IF(C203="","",IFERROR(_xlfn.XLOOKUP(C203,tblInventario[ID del soporte],tblInventario[Tipo],""),""))</f>
        <v/>
      </c>
      <c r="E203" s="20" t="n"/>
      <c r="F203" s="22" t="n"/>
      <c r="G203" s="20" t="n"/>
      <c r="H203" s="21" t="n"/>
      <c r="I203" s="22" t="n"/>
      <c r="J203" s="20" t="n"/>
      <c r="K203" s="21" t="n"/>
      <c r="L203" s="20" t="n"/>
      <c r="M203" s="22" t="n"/>
      <c r="N203" s="20" t="n"/>
      <c r="O203" s="20" t="n"/>
      <c r="P203" s="22" t="n"/>
      <c r="Q203" s="26" t="n"/>
      <c r="R203" s="23">
        <f>IF(A203="","",IF(I203="","Abierto",IF(D203="Tarjeta",IF(OR(L203&lt;&gt;"Sí",N203&lt;&gt;"Sí",O203&lt;&gt;"Sí"),"Pendiente","Cerrado"),IF(D203="Batería","Cerrado","Revisar"))))</f>
        <v/>
      </c>
      <c r="S203" s="25">
        <f>IF(A203="","",IF(B203="","Falta la sesión",IF(C203="","Falta el soporte",IF(D203="","Soporte no encontrado",IF(COUNTIFS(tblControl[ID del soporte],C203,tblControl[Estado del control],"Abierto")&gt;1,"Soporte asignado más de una vez",IF(F203="","Falta la fecha de salida",IF(AND(I203&lt;&gt;"",I203&lt;F203),"La devolución es anterior a la salida",IF(AND(D203="Batería",G203=""),"Falta la carga de salida",IF(AND(D203="Batería",G203&lt;Resumen!$C$3),"Carga de salida inferior al mínimo",IF(AND(D203="Tarjeta",H203=""),"Falta el espacio libre de salida",IF(AND(D203="Tarjeta",I203&lt;&gt;"",L203&lt;&gt;"Sí"),"Descarga pendiente",IF(AND(D203="Tarjeta",L203="Sí",N203&lt;&gt;"Sí"),"Verificación pendiente",IF(AND(D203="Tarjeta",N203="Sí",O203&lt;&gt;"Sí"),"Borrado pendiente",IF(Q203&lt;&gt;"","Revisar incidencia","Correcto"))))))))))))))</f>
        <v/>
      </c>
      <c r="T203" s="20" t="n"/>
    </row>
    <row r="204" ht="22" customHeight="1">
      <c r="A204" s="20" t="n"/>
      <c r="B204" s="20" t="n"/>
      <c r="C204" s="20" t="n"/>
      <c r="D204" s="23">
        <f>IF(C204="","",IFERROR(_xlfn.XLOOKUP(C204,tblInventario[ID del soporte],tblInventario[Tipo],""),""))</f>
        <v/>
      </c>
      <c r="E204" s="20" t="n"/>
      <c r="F204" s="22" t="n"/>
      <c r="G204" s="20" t="n"/>
      <c r="H204" s="21" t="n"/>
      <c r="I204" s="22" t="n"/>
      <c r="J204" s="20" t="n"/>
      <c r="K204" s="21" t="n"/>
      <c r="L204" s="20" t="n"/>
      <c r="M204" s="22" t="n"/>
      <c r="N204" s="20" t="n"/>
      <c r="O204" s="20" t="n"/>
      <c r="P204" s="22" t="n"/>
      <c r="Q204" s="26" t="n"/>
      <c r="R204" s="23">
        <f>IF(A204="","",IF(I204="","Abierto",IF(D204="Tarjeta",IF(OR(L204&lt;&gt;"Sí",N204&lt;&gt;"Sí",O204&lt;&gt;"Sí"),"Pendiente","Cerrado"),IF(D204="Batería","Cerrado","Revisar"))))</f>
        <v/>
      </c>
      <c r="S204" s="25">
        <f>IF(A204="","",IF(B204="","Falta la sesión",IF(C204="","Falta el soporte",IF(D204="","Soporte no encontrado",IF(COUNTIFS(tblControl[ID del soporte],C204,tblControl[Estado del control],"Abierto")&gt;1,"Soporte asignado más de una vez",IF(F204="","Falta la fecha de salida",IF(AND(I204&lt;&gt;"",I204&lt;F204),"La devolución es anterior a la salida",IF(AND(D204="Batería",G204=""),"Falta la carga de salida",IF(AND(D204="Batería",G204&lt;Resumen!$C$3),"Carga de salida inferior al mínimo",IF(AND(D204="Tarjeta",H204=""),"Falta el espacio libre de salida",IF(AND(D204="Tarjeta",I204&lt;&gt;"",L204&lt;&gt;"Sí"),"Descarga pendiente",IF(AND(D204="Tarjeta",L204="Sí",N204&lt;&gt;"Sí"),"Verificación pendiente",IF(AND(D204="Tarjeta",N204="Sí",O204&lt;&gt;"Sí"),"Borrado pendiente",IF(Q204&lt;&gt;"","Revisar incidencia","Correcto"))))))))))))))</f>
        <v/>
      </c>
      <c r="T204" s="20" t="n"/>
    </row>
    <row r="205" ht="22" customHeight="1">
      <c r="A205" s="20" t="n"/>
      <c r="B205" s="20" t="n"/>
      <c r="C205" s="20" t="n"/>
      <c r="D205" s="23">
        <f>IF(C205="","",IFERROR(_xlfn.XLOOKUP(C205,tblInventario[ID del soporte],tblInventario[Tipo],""),""))</f>
        <v/>
      </c>
      <c r="E205" s="20" t="n"/>
      <c r="F205" s="22" t="n"/>
      <c r="G205" s="20" t="n"/>
      <c r="H205" s="21" t="n"/>
      <c r="I205" s="22" t="n"/>
      <c r="J205" s="20" t="n"/>
      <c r="K205" s="21" t="n"/>
      <c r="L205" s="20" t="n"/>
      <c r="M205" s="22" t="n"/>
      <c r="N205" s="20" t="n"/>
      <c r="O205" s="20" t="n"/>
      <c r="P205" s="22" t="n"/>
      <c r="Q205" s="26" t="n"/>
      <c r="R205" s="23">
        <f>IF(A205="","",IF(I205="","Abierto",IF(D205="Tarjeta",IF(OR(L205&lt;&gt;"Sí",N205&lt;&gt;"Sí",O205&lt;&gt;"Sí"),"Pendiente","Cerrado"),IF(D205="Batería","Cerrado","Revisar"))))</f>
        <v/>
      </c>
      <c r="S205" s="25">
        <f>IF(A205="","",IF(B205="","Falta la sesión",IF(C205="","Falta el soporte",IF(D205="","Soporte no encontrado",IF(COUNTIFS(tblControl[ID del soporte],C205,tblControl[Estado del control],"Abierto")&gt;1,"Soporte asignado más de una vez",IF(F205="","Falta la fecha de salida",IF(AND(I205&lt;&gt;"",I205&lt;F205),"La devolución es anterior a la salida",IF(AND(D205="Batería",G205=""),"Falta la carga de salida",IF(AND(D205="Batería",G205&lt;Resumen!$C$3),"Carga de salida inferior al mínimo",IF(AND(D205="Tarjeta",H205=""),"Falta el espacio libre de salida",IF(AND(D205="Tarjeta",I205&lt;&gt;"",L205&lt;&gt;"Sí"),"Descarga pendiente",IF(AND(D205="Tarjeta",L205="Sí",N205&lt;&gt;"Sí"),"Verificación pendiente",IF(AND(D205="Tarjeta",N205="Sí",O205&lt;&gt;"Sí"),"Borrado pendiente",IF(Q205&lt;&gt;"","Revisar incidencia","Correcto"))))))))))))))</f>
        <v/>
      </c>
      <c r="T205" s="20" t="n"/>
    </row>
    <row r="206" ht="22" customHeight="1">
      <c r="A206" s="20" t="n"/>
      <c r="B206" s="20" t="n"/>
      <c r="C206" s="20" t="n"/>
      <c r="D206" s="23">
        <f>IF(C206="","",IFERROR(_xlfn.XLOOKUP(C206,tblInventario[ID del soporte],tblInventario[Tipo],""),""))</f>
        <v/>
      </c>
      <c r="E206" s="20" t="n"/>
      <c r="F206" s="22" t="n"/>
      <c r="G206" s="20" t="n"/>
      <c r="H206" s="21" t="n"/>
      <c r="I206" s="22" t="n"/>
      <c r="J206" s="20" t="n"/>
      <c r="K206" s="21" t="n"/>
      <c r="L206" s="20" t="n"/>
      <c r="M206" s="22" t="n"/>
      <c r="N206" s="20" t="n"/>
      <c r="O206" s="20" t="n"/>
      <c r="P206" s="22" t="n"/>
      <c r="Q206" s="26" t="n"/>
      <c r="R206" s="23">
        <f>IF(A206="","",IF(I206="","Abierto",IF(D206="Tarjeta",IF(OR(L206&lt;&gt;"Sí",N206&lt;&gt;"Sí",O206&lt;&gt;"Sí"),"Pendiente","Cerrado"),IF(D206="Batería","Cerrado","Revisar"))))</f>
        <v/>
      </c>
      <c r="S206" s="25">
        <f>IF(A206="","",IF(B206="","Falta la sesión",IF(C206="","Falta el soporte",IF(D206="","Soporte no encontrado",IF(COUNTIFS(tblControl[ID del soporte],C206,tblControl[Estado del control],"Abierto")&gt;1,"Soporte asignado más de una vez",IF(F206="","Falta la fecha de salida",IF(AND(I206&lt;&gt;"",I206&lt;F206),"La devolución es anterior a la salida",IF(AND(D206="Batería",G206=""),"Falta la carga de salida",IF(AND(D206="Batería",G206&lt;Resumen!$C$3),"Carga de salida inferior al mínimo",IF(AND(D206="Tarjeta",H206=""),"Falta el espacio libre de salida",IF(AND(D206="Tarjeta",I206&lt;&gt;"",L206&lt;&gt;"Sí"),"Descarga pendiente",IF(AND(D206="Tarjeta",L206="Sí",N206&lt;&gt;"Sí"),"Verificación pendiente",IF(AND(D206="Tarjeta",N206="Sí",O206&lt;&gt;"Sí"),"Borrado pendiente",IF(Q206&lt;&gt;"","Revisar incidencia","Correcto"))))))))))))))</f>
        <v/>
      </c>
      <c r="T206" s="20" t="n"/>
    </row>
    <row r="207" ht="22" customHeight="1">
      <c r="A207" s="20" t="n"/>
      <c r="B207" s="20" t="n"/>
      <c r="C207" s="20" t="n"/>
      <c r="D207" s="23">
        <f>IF(C207="","",IFERROR(_xlfn.XLOOKUP(C207,tblInventario[ID del soporte],tblInventario[Tipo],""),""))</f>
        <v/>
      </c>
      <c r="E207" s="20" t="n"/>
      <c r="F207" s="22" t="n"/>
      <c r="G207" s="20" t="n"/>
      <c r="H207" s="21" t="n"/>
      <c r="I207" s="22" t="n"/>
      <c r="J207" s="20" t="n"/>
      <c r="K207" s="21" t="n"/>
      <c r="L207" s="20" t="n"/>
      <c r="M207" s="22" t="n"/>
      <c r="N207" s="20" t="n"/>
      <c r="O207" s="20" t="n"/>
      <c r="P207" s="22" t="n"/>
      <c r="Q207" s="26" t="n"/>
      <c r="R207" s="23">
        <f>IF(A207="","",IF(I207="","Abierto",IF(D207="Tarjeta",IF(OR(L207&lt;&gt;"Sí",N207&lt;&gt;"Sí",O207&lt;&gt;"Sí"),"Pendiente","Cerrado"),IF(D207="Batería","Cerrado","Revisar"))))</f>
        <v/>
      </c>
      <c r="S207" s="25">
        <f>IF(A207="","",IF(B207="","Falta la sesión",IF(C207="","Falta el soporte",IF(D207="","Soporte no encontrado",IF(COUNTIFS(tblControl[ID del soporte],C207,tblControl[Estado del control],"Abierto")&gt;1,"Soporte asignado más de una vez",IF(F207="","Falta la fecha de salida",IF(AND(I207&lt;&gt;"",I207&lt;F207),"La devolución es anterior a la salida",IF(AND(D207="Batería",G207=""),"Falta la carga de salida",IF(AND(D207="Batería",G207&lt;Resumen!$C$3),"Carga de salida inferior al mínimo",IF(AND(D207="Tarjeta",H207=""),"Falta el espacio libre de salida",IF(AND(D207="Tarjeta",I207&lt;&gt;"",L207&lt;&gt;"Sí"),"Descarga pendiente",IF(AND(D207="Tarjeta",L207="Sí",N207&lt;&gt;"Sí"),"Verificación pendiente",IF(AND(D207="Tarjeta",N207="Sí",O207&lt;&gt;"Sí"),"Borrado pendiente",IF(Q207&lt;&gt;"","Revisar incidencia","Correcto"))))))))))))))</f>
        <v/>
      </c>
      <c r="T207" s="20" t="n"/>
    </row>
    <row r="208" ht="22" customHeight="1">
      <c r="A208" s="20" t="n"/>
      <c r="B208" s="20" t="n"/>
      <c r="C208" s="20" t="n"/>
      <c r="D208" s="23">
        <f>IF(C208="","",IFERROR(_xlfn.XLOOKUP(C208,tblInventario[ID del soporte],tblInventario[Tipo],""),""))</f>
        <v/>
      </c>
      <c r="E208" s="20" t="n"/>
      <c r="F208" s="22" t="n"/>
      <c r="G208" s="20" t="n"/>
      <c r="H208" s="21" t="n"/>
      <c r="I208" s="22" t="n"/>
      <c r="J208" s="20" t="n"/>
      <c r="K208" s="21" t="n"/>
      <c r="L208" s="20" t="n"/>
      <c r="M208" s="22" t="n"/>
      <c r="N208" s="20" t="n"/>
      <c r="O208" s="20" t="n"/>
      <c r="P208" s="22" t="n"/>
      <c r="Q208" s="26" t="n"/>
      <c r="R208" s="23">
        <f>IF(A208="","",IF(I208="","Abierto",IF(D208="Tarjeta",IF(OR(L208&lt;&gt;"Sí",N208&lt;&gt;"Sí",O208&lt;&gt;"Sí"),"Pendiente","Cerrado"),IF(D208="Batería","Cerrado","Revisar"))))</f>
        <v/>
      </c>
      <c r="S208" s="25">
        <f>IF(A208="","",IF(B208="","Falta la sesión",IF(C208="","Falta el soporte",IF(D208="","Soporte no encontrado",IF(COUNTIFS(tblControl[ID del soporte],C208,tblControl[Estado del control],"Abierto")&gt;1,"Soporte asignado más de una vez",IF(F208="","Falta la fecha de salida",IF(AND(I208&lt;&gt;"",I208&lt;F208),"La devolución es anterior a la salida",IF(AND(D208="Batería",G208=""),"Falta la carga de salida",IF(AND(D208="Batería",G208&lt;Resumen!$C$3),"Carga de salida inferior al mínimo",IF(AND(D208="Tarjeta",H208=""),"Falta el espacio libre de salida",IF(AND(D208="Tarjeta",I208&lt;&gt;"",L208&lt;&gt;"Sí"),"Descarga pendiente",IF(AND(D208="Tarjeta",L208="Sí",N208&lt;&gt;"Sí"),"Verificación pendiente",IF(AND(D208="Tarjeta",N208="Sí",O208&lt;&gt;"Sí"),"Borrado pendiente",IF(Q208&lt;&gt;"","Revisar incidencia","Correcto"))))))))))))))</f>
        <v/>
      </c>
      <c r="T208" s="20" t="n"/>
    </row>
    <row r="209" ht="22" customHeight="1">
      <c r="A209" s="20" t="n"/>
      <c r="B209" s="20" t="n"/>
      <c r="C209" s="20" t="n"/>
      <c r="D209" s="23">
        <f>IF(C209="","",IFERROR(_xlfn.XLOOKUP(C209,tblInventario[ID del soporte],tblInventario[Tipo],""),""))</f>
        <v/>
      </c>
      <c r="E209" s="20" t="n"/>
      <c r="F209" s="22" t="n"/>
      <c r="G209" s="20" t="n"/>
      <c r="H209" s="21" t="n"/>
      <c r="I209" s="22" t="n"/>
      <c r="J209" s="20" t="n"/>
      <c r="K209" s="21" t="n"/>
      <c r="L209" s="20" t="n"/>
      <c r="M209" s="22" t="n"/>
      <c r="N209" s="20" t="n"/>
      <c r="O209" s="20" t="n"/>
      <c r="P209" s="22" t="n"/>
      <c r="Q209" s="26" t="n"/>
      <c r="R209" s="23">
        <f>IF(A209="","",IF(I209="","Abierto",IF(D209="Tarjeta",IF(OR(L209&lt;&gt;"Sí",N209&lt;&gt;"Sí",O209&lt;&gt;"Sí"),"Pendiente","Cerrado"),IF(D209="Batería","Cerrado","Revisar"))))</f>
        <v/>
      </c>
      <c r="S209" s="25">
        <f>IF(A209="","",IF(B209="","Falta la sesión",IF(C209="","Falta el soporte",IF(D209="","Soporte no encontrado",IF(COUNTIFS(tblControl[ID del soporte],C209,tblControl[Estado del control],"Abierto")&gt;1,"Soporte asignado más de una vez",IF(F209="","Falta la fecha de salida",IF(AND(I209&lt;&gt;"",I209&lt;F209),"La devolución es anterior a la salida",IF(AND(D209="Batería",G209=""),"Falta la carga de salida",IF(AND(D209="Batería",G209&lt;Resumen!$C$3),"Carga de salida inferior al mínimo",IF(AND(D209="Tarjeta",H209=""),"Falta el espacio libre de salida",IF(AND(D209="Tarjeta",I209&lt;&gt;"",L209&lt;&gt;"Sí"),"Descarga pendiente",IF(AND(D209="Tarjeta",L209="Sí",N209&lt;&gt;"Sí"),"Verificación pendiente",IF(AND(D209="Tarjeta",N209="Sí",O209&lt;&gt;"Sí"),"Borrado pendiente",IF(Q209&lt;&gt;"","Revisar incidencia","Correcto"))))))))))))))</f>
        <v/>
      </c>
      <c r="T209" s="20" t="n"/>
    </row>
    <row r="210" ht="22" customHeight="1">
      <c r="A210" s="20" t="n"/>
      <c r="B210" s="20" t="n"/>
      <c r="C210" s="20" t="n"/>
      <c r="D210" s="23">
        <f>IF(C210="","",IFERROR(_xlfn.XLOOKUP(C210,tblInventario[ID del soporte],tblInventario[Tipo],""),""))</f>
        <v/>
      </c>
      <c r="E210" s="20" t="n"/>
      <c r="F210" s="22" t="n"/>
      <c r="G210" s="20" t="n"/>
      <c r="H210" s="21" t="n"/>
      <c r="I210" s="22" t="n"/>
      <c r="J210" s="20" t="n"/>
      <c r="K210" s="21" t="n"/>
      <c r="L210" s="20" t="n"/>
      <c r="M210" s="22" t="n"/>
      <c r="N210" s="20" t="n"/>
      <c r="O210" s="20" t="n"/>
      <c r="P210" s="22" t="n"/>
      <c r="Q210" s="26" t="n"/>
      <c r="R210" s="23">
        <f>IF(A210="","",IF(I210="","Abierto",IF(D210="Tarjeta",IF(OR(L210&lt;&gt;"Sí",N210&lt;&gt;"Sí",O210&lt;&gt;"Sí"),"Pendiente","Cerrado"),IF(D210="Batería","Cerrado","Revisar"))))</f>
        <v/>
      </c>
      <c r="S210" s="25">
        <f>IF(A210="","",IF(B210="","Falta la sesión",IF(C210="","Falta el soporte",IF(D210="","Soporte no encontrado",IF(COUNTIFS(tblControl[ID del soporte],C210,tblControl[Estado del control],"Abierto")&gt;1,"Soporte asignado más de una vez",IF(F210="","Falta la fecha de salida",IF(AND(I210&lt;&gt;"",I210&lt;F210),"La devolución es anterior a la salida",IF(AND(D210="Batería",G210=""),"Falta la carga de salida",IF(AND(D210="Batería",G210&lt;Resumen!$C$3),"Carga de salida inferior al mínimo",IF(AND(D210="Tarjeta",H210=""),"Falta el espacio libre de salida",IF(AND(D210="Tarjeta",I210&lt;&gt;"",L210&lt;&gt;"Sí"),"Descarga pendiente",IF(AND(D210="Tarjeta",L210="Sí",N210&lt;&gt;"Sí"),"Verificación pendiente",IF(AND(D210="Tarjeta",N210="Sí",O210&lt;&gt;"Sí"),"Borrado pendiente",IF(Q210&lt;&gt;"","Revisar incidencia","Correcto"))))))))))))))</f>
        <v/>
      </c>
      <c r="T210" s="20" t="n"/>
    </row>
    <row r="211" ht="22" customHeight="1">
      <c r="A211" s="20" t="n"/>
      <c r="B211" s="20" t="n"/>
      <c r="C211" s="20" t="n"/>
      <c r="D211" s="23">
        <f>IF(C211="","",IFERROR(_xlfn.XLOOKUP(C211,tblInventario[ID del soporte],tblInventario[Tipo],""),""))</f>
        <v/>
      </c>
      <c r="E211" s="20" t="n"/>
      <c r="F211" s="22" t="n"/>
      <c r="G211" s="20" t="n"/>
      <c r="H211" s="21" t="n"/>
      <c r="I211" s="22" t="n"/>
      <c r="J211" s="20" t="n"/>
      <c r="K211" s="21" t="n"/>
      <c r="L211" s="20" t="n"/>
      <c r="M211" s="22" t="n"/>
      <c r="N211" s="20" t="n"/>
      <c r="O211" s="20" t="n"/>
      <c r="P211" s="22" t="n"/>
      <c r="Q211" s="26" t="n"/>
      <c r="R211" s="23">
        <f>IF(A211="","",IF(I211="","Abierto",IF(D211="Tarjeta",IF(OR(L211&lt;&gt;"Sí",N211&lt;&gt;"Sí",O211&lt;&gt;"Sí"),"Pendiente","Cerrado"),IF(D211="Batería","Cerrado","Revisar"))))</f>
        <v/>
      </c>
      <c r="S211" s="25">
        <f>IF(A211="","",IF(B211="","Falta la sesión",IF(C211="","Falta el soporte",IF(D211="","Soporte no encontrado",IF(COUNTIFS(tblControl[ID del soporte],C211,tblControl[Estado del control],"Abierto")&gt;1,"Soporte asignado más de una vez",IF(F211="","Falta la fecha de salida",IF(AND(I211&lt;&gt;"",I211&lt;F211),"La devolución es anterior a la salida",IF(AND(D211="Batería",G211=""),"Falta la carga de salida",IF(AND(D211="Batería",G211&lt;Resumen!$C$3),"Carga de salida inferior al mínimo",IF(AND(D211="Tarjeta",H211=""),"Falta el espacio libre de salida",IF(AND(D211="Tarjeta",I211&lt;&gt;"",L211&lt;&gt;"Sí"),"Descarga pendiente",IF(AND(D211="Tarjeta",L211="Sí",N211&lt;&gt;"Sí"),"Verificación pendiente",IF(AND(D211="Tarjeta",N211="Sí",O211&lt;&gt;"Sí"),"Borrado pendiente",IF(Q211&lt;&gt;"","Revisar incidencia","Correcto"))))))))))))))</f>
        <v/>
      </c>
      <c r="T211" s="20" t="n"/>
    </row>
    <row r="212" ht="22" customHeight="1">
      <c r="A212" s="20" t="n"/>
      <c r="B212" s="20" t="n"/>
      <c r="C212" s="20" t="n"/>
      <c r="D212" s="23">
        <f>IF(C212="","",IFERROR(_xlfn.XLOOKUP(C212,tblInventario[ID del soporte],tblInventario[Tipo],""),""))</f>
        <v/>
      </c>
      <c r="E212" s="20" t="n"/>
      <c r="F212" s="22" t="n"/>
      <c r="G212" s="20" t="n"/>
      <c r="H212" s="21" t="n"/>
      <c r="I212" s="22" t="n"/>
      <c r="J212" s="20" t="n"/>
      <c r="K212" s="21" t="n"/>
      <c r="L212" s="20" t="n"/>
      <c r="M212" s="22" t="n"/>
      <c r="N212" s="20" t="n"/>
      <c r="O212" s="20" t="n"/>
      <c r="P212" s="22" t="n"/>
      <c r="Q212" s="26" t="n"/>
      <c r="R212" s="23">
        <f>IF(A212="","",IF(I212="","Abierto",IF(D212="Tarjeta",IF(OR(L212&lt;&gt;"Sí",N212&lt;&gt;"Sí",O212&lt;&gt;"Sí"),"Pendiente","Cerrado"),IF(D212="Batería","Cerrado","Revisar"))))</f>
        <v/>
      </c>
      <c r="S212" s="25">
        <f>IF(A212="","",IF(B212="","Falta la sesión",IF(C212="","Falta el soporte",IF(D212="","Soporte no encontrado",IF(COUNTIFS(tblControl[ID del soporte],C212,tblControl[Estado del control],"Abierto")&gt;1,"Soporte asignado más de una vez",IF(F212="","Falta la fecha de salida",IF(AND(I212&lt;&gt;"",I212&lt;F212),"La devolución es anterior a la salida",IF(AND(D212="Batería",G212=""),"Falta la carga de salida",IF(AND(D212="Batería",G212&lt;Resumen!$C$3),"Carga de salida inferior al mínimo",IF(AND(D212="Tarjeta",H212=""),"Falta el espacio libre de salida",IF(AND(D212="Tarjeta",I212&lt;&gt;"",L212&lt;&gt;"Sí"),"Descarga pendiente",IF(AND(D212="Tarjeta",L212="Sí",N212&lt;&gt;"Sí"),"Verificación pendiente",IF(AND(D212="Tarjeta",N212="Sí",O212&lt;&gt;"Sí"),"Borrado pendiente",IF(Q212&lt;&gt;"","Revisar incidencia","Correcto"))))))))))))))</f>
        <v/>
      </c>
      <c r="T212" s="20" t="n"/>
    </row>
    <row r="213" ht="22" customHeight="1">
      <c r="A213" s="20" t="n"/>
      <c r="B213" s="20" t="n"/>
      <c r="C213" s="20" t="n"/>
      <c r="D213" s="23">
        <f>IF(C213="","",IFERROR(_xlfn.XLOOKUP(C213,tblInventario[ID del soporte],tblInventario[Tipo],""),""))</f>
        <v/>
      </c>
      <c r="E213" s="20" t="n"/>
      <c r="F213" s="22" t="n"/>
      <c r="G213" s="20" t="n"/>
      <c r="H213" s="21" t="n"/>
      <c r="I213" s="22" t="n"/>
      <c r="J213" s="20" t="n"/>
      <c r="K213" s="21" t="n"/>
      <c r="L213" s="20" t="n"/>
      <c r="M213" s="22" t="n"/>
      <c r="N213" s="20" t="n"/>
      <c r="O213" s="20" t="n"/>
      <c r="P213" s="22" t="n"/>
      <c r="Q213" s="26" t="n"/>
      <c r="R213" s="23">
        <f>IF(A213="","",IF(I213="","Abierto",IF(D213="Tarjeta",IF(OR(L213&lt;&gt;"Sí",N213&lt;&gt;"Sí",O213&lt;&gt;"Sí"),"Pendiente","Cerrado"),IF(D213="Batería","Cerrado","Revisar"))))</f>
        <v/>
      </c>
      <c r="S213" s="25">
        <f>IF(A213="","",IF(B213="","Falta la sesión",IF(C213="","Falta el soporte",IF(D213="","Soporte no encontrado",IF(COUNTIFS(tblControl[ID del soporte],C213,tblControl[Estado del control],"Abierto")&gt;1,"Soporte asignado más de una vez",IF(F213="","Falta la fecha de salida",IF(AND(I213&lt;&gt;"",I213&lt;F213),"La devolución es anterior a la salida",IF(AND(D213="Batería",G213=""),"Falta la carga de salida",IF(AND(D213="Batería",G213&lt;Resumen!$C$3),"Carga de salida inferior al mínimo",IF(AND(D213="Tarjeta",H213=""),"Falta el espacio libre de salida",IF(AND(D213="Tarjeta",I213&lt;&gt;"",L213&lt;&gt;"Sí"),"Descarga pendiente",IF(AND(D213="Tarjeta",L213="Sí",N213&lt;&gt;"Sí"),"Verificación pendiente",IF(AND(D213="Tarjeta",N213="Sí",O213&lt;&gt;"Sí"),"Borrado pendiente",IF(Q213&lt;&gt;"","Revisar incidencia","Correcto"))))))))))))))</f>
        <v/>
      </c>
      <c r="T213" s="20" t="n"/>
    </row>
    <row r="214" ht="22" customHeight="1">
      <c r="A214" s="20" t="n"/>
      <c r="B214" s="20" t="n"/>
      <c r="C214" s="20" t="n"/>
      <c r="D214" s="23">
        <f>IF(C214="","",IFERROR(_xlfn.XLOOKUP(C214,tblInventario[ID del soporte],tblInventario[Tipo],""),""))</f>
        <v/>
      </c>
      <c r="E214" s="20" t="n"/>
      <c r="F214" s="22" t="n"/>
      <c r="G214" s="20" t="n"/>
      <c r="H214" s="21" t="n"/>
      <c r="I214" s="22" t="n"/>
      <c r="J214" s="20" t="n"/>
      <c r="K214" s="21" t="n"/>
      <c r="L214" s="20" t="n"/>
      <c r="M214" s="22" t="n"/>
      <c r="N214" s="20" t="n"/>
      <c r="O214" s="20" t="n"/>
      <c r="P214" s="22" t="n"/>
      <c r="Q214" s="26" t="n"/>
      <c r="R214" s="23">
        <f>IF(A214="","",IF(I214="","Abierto",IF(D214="Tarjeta",IF(OR(L214&lt;&gt;"Sí",N214&lt;&gt;"Sí",O214&lt;&gt;"Sí"),"Pendiente","Cerrado"),IF(D214="Batería","Cerrado","Revisar"))))</f>
        <v/>
      </c>
      <c r="S214" s="25">
        <f>IF(A214="","",IF(B214="","Falta la sesión",IF(C214="","Falta el soporte",IF(D214="","Soporte no encontrado",IF(COUNTIFS(tblControl[ID del soporte],C214,tblControl[Estado del control],"Abierto")&gt;1,"Soporte asignado más de una vez",IF(F214="","Falta la fecha de salida",IF(AND(I214&lt;&gt;"",I214&lt;F214),"La devolución es anterior a la salida",IF(AND(D214="Batería",G214=""),"Falta la carga de salida",IF(AND(D214="Batería",G214&lt;Resumen!$C$3),"Carga de salida inferior al mínimo",IF(AND(D214="Tarjeta",H214=""),"Falta el espacio libre de salida",IF(AND(D214="Tarjeta",I214&lt;&gt;"",L214&lt;&gt;"Sí"),"Descarga pendiente",IF(AND(D214="Tarjeta",L214="Sí",N214&lt;&gt;"Sí"),"Verificación pendiente",IF(AND(D214="Tarjeta",N214="Sí",O214&lt;&gt;"Sí"),"Borrado pendiente",IF(Q214&lt;&gt;"","Revisar incidencia","Correcto"))))))))))))))</f>
        <v/>
      </c>
      <c r="T214" s="20" t="n"/>
    </row>
    <row r="215" ht="22" customHeight="1">
      <c r="A215" s="20" t="n"/>
      <c r="B215" s="20" t="n"/>
      <c r="C215" s="20" t="n"/>
      <c r="D215" s="23">
        <f>IF(C215="","",IFERROR(_xlfn.XLOOKUP(C215,tblInventario[ID del soporte],tblInventario[Tipo],""),""))</f>
        <v/>
      </c>
      <c r="E215" s="20" t="n"/>
      <c r="F215" s="22" t="n"/>
      <c r="G215" s="20" t="n"/>
      <c r="H215" s="21" t="n"/>
      <c r="I215" s="22" t="n"/>
      <c r="J215" s="20" t="n"/>
      <c r="K215" s="21" t="n"/>
      <c r="L215" s="20" t="n"/>
      <c r="M215" s="22" t="n"/>
      <c r="N215" s="20" t="n"/>
      <c r="O215" s="20" t="n"/>
      <c r="P215" s="22" t="n"/>
      <c r="Q215" s="26" t="n"/>
      <c r="R215" s="23">
        <f>IF(A215="","",IF(I215="","Abierto",IF(D215="Tarjeta",IF(OR(L215&lt;&gt;"Sí",N215&lt;&gt;"Sí",O215&lt;&gt;"Sí"),"Pendiente","Cerrado"),IF(D215="Batería","Cerrado","Revisar"))))</f>
        <v/>
      </c>
      <c r="S215" s="25">
        <f>IF(A215="","",IF(B215="","Falta la sesión",IF(C215="","Falta el soporte",IF(D215="","Soporte no encontrado",IF(COUNTIFS(tblControl[ID del soporte],C215,tblControl[Estado del control],"Abierto")&gt;1,"Soporte asignado más de una vez",IF(F215="","Falta la fecha de salida",IF(AND(I215&lt;&gt;"",I215&lt;F215),"La devolución es anterior a la salida",IF(AND(D215="Batería",G215=""),"Falta la carga de salida",IF(AND(D215="Batería",G215&lt;Resumen!$C$3),"Carga de salida inferior al mínimo",IF(AND(D215="Tarjeta",H215=""),"Falta el espacio libre de salida",IF(AND(D215="Tarjeta",I215&lt;&gt;"",L215&lt;&gt;"Sí"),"Descarga pendiente",IF(AND(D215="Tarjeta",L215="Sí",N215&lt;&gt;"Sí"),"Verificación pendiente",IF(AND(D215="Tarjeta",N215="Sí",O215&lt;&gt;"Sí"),"Borrado pendiente",IF(Q215&lt;&gt;"","Revisar incidencia","Correcto"))))))))))))))</f>
        <v/>
      </c>
      <c r="T215" s="20" t="n"/>
    </row>
    <row r="216" ht="22" customHeight="1">
      <c r="A216" s="20" t="n"/>
      <c r="B216" s="20" t="n"/>
      <c r="C216" s="20" t="n"/>
      <c r="D216" s="23">
        <f>IF(C216="","",IFERROR(_xlfn.XLOOKUP(C216,tblInventario[ID del soporte],tblInventario[Tipo],""),""))</f>
        <v/>
      </c>
      <c r="E216" s="20" t="n"/>
      <c r="F216" s="22" t="n"/>
      <c r="G216" s="20" t="n"/>
      <c r="H216" s="21" t="n"/>
      <c r="I216" s="22" t="n"/>
      <c r="J216" s="20" t="n"/>
      <c r="K216" s="21" t="n"/>
      <c r="L216" s="20" t="n"/>
      <c r="M216" s="22" t="n"/>
      <c r="N216" s="20" t="n"/>
      <c r="O216" s="20" t="n"/>
      <c r="P216" s="22" t="n"/>
      <c r="Q216" s="26" t="n"/>
      <c r="R216" s="23">
        <f>IF(A216="","",IF(I216="","Abierto",IF(D216="Tarjeta",IF(OR(L216&lt;&gt;"Sí",N216&lt;&gt;"Sí",O216&lt;&gt;"Sí"),"Pendiente","Cerrado"),IF(D216="Batería","Cerrado","Revisar"))))</f>
        <v/>
      </c>
      <c r="S216" s="25">
        <f>IF(A216="","",IF(B216="","Falta la sesión",IF(C216="","Falta el soporte",IF(D216="","Soporte no encontrado",IF(COUNTIFS(tblControl[ID del soporte],C216,tblControl[Estado del control],"Abierto")&gt;1,"Soporte asignado más de una vez",IF(F216="","Falta la fecha de salida",IF(AND(I216&lt;&gt;"",I216&lt;F216),"La devolución es anterior a la salida",IF(AND(D216="Batería",G216=""),"Falta la carga de salida",IF(AND(D216="Batería",G216&lt;Resumen!$C$3),"Carga de salida inferior al mínimo",IF(AND(D216="Tarjeta",H216=""),"Falta el espacio libre de salida",IF(AND(D216="Tarjeta",I216&lt;&gt;"",L216&lt;&gt;"Sí"),"Descarga pendiente",IF(AND(D216="Tarjeta",L216="Sí",N216&lt;&gt;"Sí"),"Verificación pendiente",IF(AND(D216="Tarjeta",N216="Sí",O216&lt;&gt;"Sí"),"Borrado pendiente",IF(Q216&lt;&gt;"","Revisar incidencia","Correcto"))))))))))))))</f>
        <v/>
      </c>
      <c r="T216" s="20" t="n"/>
    </row>
    <row r="217" ht="22" customHeight="1">
      <c r="A217" s="20" t="n"/>
      <c r="B217" s="20" t="n"/>
      <c r="C217" s="20" t="n"/>
      <c r="D217" s="23">
        <f>IF(C217="","",IFERROR(_xlfn.XLOOKUP(C217,tblInventario[ID del soporte],tblInventario[Tipo],""),""))</f>
        <v/>
      </c>
      <c r="E217" s="20" t="n"/>
      <c r="F217" s="22" t="n"/>
      <c r="G217" s="20" t="n"/>
      <c r="H217" s="21" t="n"/>
      <c r="I217" s="22" t="n"/>
      <c r="J217" s="20" t="n"/>
      <c r="K217" s="21" t="n"/>
      <c r="L217" s="20" t="n"/>
      <c r="M217" s="22" t="n"/>
      <c r="N217" s="20" t="n"/>
      <c r="O217" s="20" t="n"/>
      <c r="P217" s="22" t="n"/>
      <c r="Q217" s="26" t="n"/>
      <c r="R217" s="23">
        <f>IF(A217="","",IF(I217="","Abierto",IF(D217="Tarjeta",IF(OR(L217&lt;&gt;"Sí",N217&lt;&gt;"Sí",O217&lt;&gt;"Sí"),"Pendiente","Cerrado"),IF(D217="Batería","Cerrado","Revisar"))))</f>
        <v/>
      </c>
      <c r="S217" s="25">
        <f>IF(A217="","",IF(B217="","Falta la sesión",IF(C217="","Falta el soporte",IF(D217="","Soporte no encontrado",IF(COUNTIFS(tblControl[ID del soporte],C217,tblControl[Estado del control],"Abierto")&gt;1,"Soporte asignado más de una vez",IF(F217="","Falta la fecha de salida",IF(AND(I217&lt;&gt;"",I217&lt;F217),"La devolución es anterior a la salida",IF(AND(D217="Batería",G217=""),"Falta la carga de salida",IF(AND(D217="Batería",G217&lt;Resumen!$C$3),"Carga de salida inferior al mínimo",IF(AND(D217="Tarjeta",H217=""),"Falta el espacio libre de salida",IF(AND(D217="Tarjeta",I217&lt;&gt;"",L217&lt;&gt;"Sí"),"Descarga pendiente",IF(AND(D217="Tarjeta",L217="Sí",N217&lt;&gt;"Sí"),"Verificación pendiente",IF(AND(D217="Tarjeta",N217="Sí",O217&lt;&gt;"Sí"),"Borrado pendiente",IF(Q217&lt;&gt;"","Revisar incidencia","Correcto"))))))))))))))</f>
        <v/>
      </c>
      <c r="T217" s="20" t="n"/>
    </row>
    <row r="218" ht="22" customHeight="1">
      <c r="A218" s="20" t="n"/>
      <c r="B218" s="20" t="n"/>
      <c r="C218" s="20" t="n"/>
      <c r="D218" s="23">
        <f>IF(C218="","",IFERROR(_xlfn.XLOOKUP(C218,tblInventario[ID del soporte],tblInventario[Tipo],""),""))</f>
        <v/>
      </c>
      <c r="E218" s="20" t="n"/>
      <c r="F218" s="22" t="n"/>
      <c r="G218" s="20" t="n"/>
      <c r="H218" s="21" t="n"/>
      <c r="I218" s="22" t="n"/>
      <c r="J218" s="20" t="n"/>
      <c r="K218" s="21" t="n"/>
      <c r="L218" s="20" t="n"/>
      <c r="M218" s="22" t="n"/>
      <c r="N218" s="20" t="n"/>
      <c r="O218" s="20" t="n"/>
      <c r="P218" s="22" t="n"/>
      <c r="Q218" s="26" t="n"/>
      <c r="R218" s="23">
        <f>IF(A218="","",IF(I218="","Abierto",IF(D218="Tarjeta",IF(OR(L218&lt;&gt;"Sí",N218&lt;&gt;"Sí",O218&lt;&gt;"Sí"),"Pendiente","Cerrado"),IF(D218="Batería","Cerrado","Revisar"))))</f>
        <v/>
      </c>
      <c r="S218" s="25">
        <f>IF(A218="","",IF(B218="","Falta la sesión",IF(C218="","Falta el soporte",IF(D218="","Soporte no encontrado",IF(COUNTIFS(tblControl[ID del soporte],C218,tblControl[Estado del control],"Abierto")&gt;1,"Soporte asignado más de una vez",IF(F218="","Falta la fecha de salida",IF(AND(I218&lt;&gt;"",I218&lt;F218),"La devolución es anterior a la salida",IF(AND(D218="Batería",G218=""),"Falta la carga de salida",IF(AND(D218="Batería",G218&lt;Resumen!$C$3),"Carga de salida inferior al mínimo",IF(AND(D218="Tarjeta",H218=""),"Falta el espacio libre de salida",IF(AND(D218="Tarjeta",I218&lt;&gt;"",L218&lt;&gt;"Sí"),"Descarga pendiente",IF(AND(D218="Tarjeta",L218="Sí",N218&lt;&gt;"Sí"),"Verificación pendiente",IF(AND(D218="Tarjeta",N218="Sí",O218&lt;&gt;"Sí"),"Borrado pendiente",IF(Q218&lt;&gt;"","Revisar incidencia","Correcto"))))))))))))))</f>
        <v/>
      </c>
      <c r="T218" s="20" t="n"/>
    </row>
    <row r="219" ht="22" customHeight="1">
      <c r="A219" s="20" t="n"/>
      <c r="B219" s="20" t="n"/>
      <c r="C219" s="20" t="n"/>
      <c r="D219" s="23">
        <f>IF(C219="","",IFERROR(_xlfn.XLOOKUP(C219,tblInventario[ID del soporte],tblInventario[Tipo],""),""))</f>
        <v/>
      </c>
      <c r="E219" s="20" t="n"/>
      <c r="F219" s="22" t="n"/>
      <c r="G219" s="20" t="n"/>
      <c r="H219" s="21" t="n"/>
      <c r="I219" s="22" t="n"/>
      <c r="J219" s="20" t="n"/>
      <c r="K219" s="21" t="n"/>
      <c r="L219" s="20" t="n"/>
      <c r="M219" s="22" t="n"/>
      <c r="N219" s="20" t="n"/>
      <c r="O219" s="20" t="n"/>
      <c r="P219" s="22" t="n"/>
      <c r="Q219" s="26" t="n"/>
      <c r="R219" s="23">
        <f>IF(A219="","",IF(I219="","Abierto",IF(D219="Tarjeta",IF(OR(L219&lt;&gt;"Sí",N219&lt;&gt;"Sí",O219&lt;&gt;"Sí"),"Pendiente","Cerrado"),IF(D219="Batería","Cerrado","Revisar"))))</f>
        <v/>
      </c>
      <c r="S219" s="25">
        <f>IF(A219="","",IF(B219="","Falta la sesión",IF(C219="","Falta el soporte",IF(D219="","Soporte no encontrado",IF(COUNTIFS(tblControl[ID del soporte],C219,tblControl[Estado del control],"Abierto")&gt;1,"Soporte asignado más de una vez",IF(F219="","Falta la fecha de salida",IF(AND(I219&lt;&gt;"",I219&lt;F219),"La devolución es anterior a la salida",IF(AND(D219="Batería",G219=""),"Falta la carga de salida",IF(AND(D219="Batería",G219&lt;Resumen!$C$3),"Carga de salida inferior al mínimo",IF(AND(D219="Tarjeta",H219=""),"Falta el espacio libre de salida",IF(AND(D219="Tarjeta",I219&lt;&gt;"",L219&lt;&gt;"Sí"),"Descarga pendiente",IF(AND(D219="Tarjeta",L219="Sí",N219&lt;&gt;"Sí"),"Verificación pendiente",IF(AND(D219="Tarjeta",N219="Sí",O219&lt;&gt;"Sí"),"Borrado pendiente",IF(Q219&lt;&gt;"","Revisar incidencia","Correcto"))))))))))))))</f>
        <v/>
      </c>
      <c r="T219" s="20" t="n"/>
    </row>
    <row r="220" ht="22" customHeight="1">
      <c r="A220" s="20" t="n"/>
      <c r="B220" s="20" t="n"/>
      <c r="C220" s="20" t="n"/>
      <c r="D220" s="23">
        <f>IF(C220="","",IFERROR(_xlfn.XLOOKUP(C220,tblInventario[ID del soporte],tblInventario[Tipo],""),""))</f>
        <v/>
      </c>
      <c r="E220" s="20" t="n"/>
      <c r="F220" s="22" t="n"/>
      <c r="G220" s="20" t="n"/>
      <c r="H220" s="21" t="n"/>
      <c r="I220" s="22" t="n"/>
      <c r="J220" s="20" t="n"/>
      <c r="K220" s="21" t="n"/>
      <c r="L220" s="20" t="n"/>
      <c r="M220" s="22" t="n"/>
      <c r="N220" s="20" t="n"/>
      <c r="O220" s="20" t="n"/>
      <c r="P220" s="22" t="n"/>
      <c r="Q220" s="26" t="n"/>
      <c r="R220" s="23">
        <f>IF(A220="","",IF(I220="","Abierto",IF(D220="Tarjeta",IF(OR(L220&lt;&gt;"Sí",N220&lt;&gt;"Sí",O220&lt;&gt;"Sí"),"Pendiente","Cerrado"),IF(D220="Batería","Cerrado","Revisar"))))</f>
        <v/>
      </c>
      <c r="S220" s="25">
        <f>IF(A220="","",IF(B220="","Falta la sesión",IF(C220="","Falta el soporte",IF(D220="","Soporte no encontrado",IF(COUNTIFS(tblControl[ID del soporte],C220,tblControl[Estado del control],"Abierto")&gt;1,"Soporte asignado más de una vez",IF(F220="","Falta la fecha de salida",IF(AND(I220&lt;&gt;"",I220&lt;F220),"La devolución es anterior a la salida",IF(AND(D220="Batería",G220=""),"Falta la carga de salida",IF(AND(D220="Batería",G220&lt;Resumen!$C$3),"Carga de salida inferior al mínimo",IF(AND(D220="Tarjeta",H220=""),"Falta el espacio libre de salida",IF(AND(D220="Tarjeta",I220&lt;&gt;"",L220&lt;&gt;"Sí"),"Descarga pendiente",IF(AND(D220="Tarjeta",L220="Sí",N220&lt;&gt;"Sí"),"Verificación pendiente",IF(AND(D220="Tarjeta",N220="Sí",O220&lt;&gt;"Sí"),"Borrado pendiente",IF(Q220&lt;&gt;"","Revisar incidencia","Correcto"))))))))))))))</f>
        <v/>
      </c>
      <c r="T220" s="20" t="n"/>
    </row>
    <row r="221" ht="22" customHeight="1">
      <c r="A221" s="20" t="n"/>
      <c r="B221" s="20" t="n"/>
      <c r="C221" s="20" t="n"/>
      <c r="D221" s="23">
        <f>IF(C221="","",IFERROR(_xlfn.XLOOKUP(C221,tblInventario[ID del soporte],tblInventario[Tipo],""),""))</f>
        <v/>
      </c>
      <c r="E221" s="20" t="n"/>
      <c r="F221" s="22" t="n"/>
      <c r="G221" s="20" t="n"/>
      <c r="H221" s="21" t="n"/>
      <c r="I221" s="22" t="n"/>
      <c r="J221" s="20" t="n"/>
      <c r="K221" s="21" t="n"/>
      <c r="L221" s="20" t="n"/>
      <c r="M221" s="22" t="n"/>
      <c r="N221" s="20" t="n"/>
      <c r="O221" s="20" t="n"/>
      <c r="P221" s="22" t="n"/>
      <c r="Q221" s="26" t="n"/>
      <c r="R221" s="23">
        <f>IF(A221="","",IF(I221="","Abierto",IF(D221="Tarjeta",IF(OR(L221&lt;&gt;"Sí",N221&lt;&gt;"Sí",O221&lt;&gt;"Sí"),"Pendiente","Cerrado"),IF(D221="Batería","Cerrado","Revisar"))))</f>
        <v/>
      </c>
      <c r="S221" s="25">
        <f>IF(A221="","",IF(B221="","Falta la sesión",IF(C221="","Falta el soporte",IF(D221="","Soporte no encontrado",IF(COUNTIFS(tblControl[ID del soporte],C221,tblControl[Estado del control],"Abierto")&gt;1,"Soporte asignado más de una vez",IF(F221="","Falta la fecha de salida",IF(AND(I221&lt;&gt;"",I221&lt;F221),"La devolución es anterior a la salida",IF(AND(D221="Batería",G221=""),"Falta la carga de salida",IF(AND(D221="Batería",G221&lt;Resumen!$C$3),"Carga de salida inferior al mínimo",IF(AND(D221="Tarjeta",H221=""),"Falta el espacio libre de salida",IF(AND(D221="Tarjeta",I221&lt;&gt;"",L221&lt;&gt;"Sí"),"Descarga pendiente",IF(AND(D221="Tarjeta",L221="Sí",N221&lt;&gt;"Sí"),"Verificación pendiente",IF(AND(D221="Tarjeta",N221="Sí",O221&lt;&gt;"Sí"),"Borrado pendiente",IF(Q221&lt;&gt;"","Revisar incidencia","Correcto"))))))))))))))</f>
        <v/>
      </c>
      <c r="T221" s="20" t="n"/>
    </row>
    <row r="222" ht="22" customHeight="1">
      <c r="A222" s="20" t="n"/>
      <c r="B222" s="20" t="n"/>
      <c r="C222" s="20" t="n"/>
      <c r="D222" s="23">
        <f>IF(C222="","",IFERROR(_xlfn.XLOOKUP(C222,tblInventario[ID del soporte],tblInventario[Tipo],""),""))</f>
        <v/>
      </c>
      <c r="E222" s="20" t="n"/>
      <c r="F222" s="22" t="n"/>
      <c r="G222" s="20" t="n"/>
      <c r="H222" s="21" t="n"/>
      <c r="I222" s="22" t="n"/>
      <c r="J222" s="20" t="n"/>
      <c r="K222" s="21" t="n"/>
      <c r="L222" s="20" t="n"/>
      <c r="M222" s="22" t="n"/>
      <c r="N222" s="20" t="n"/>
      <c r="O222" s="20" t="n"/>
      <c r="P222" s="22" t="n"/>
      <c r="Q222" s="26" t="n"/>
      <c r="R222" s="23">
        <f>IF(A222="","",IF(I222="","Abierto",IF(D222="Tarjeta",IF(OR(L222&lt;&gt;"Sí",N222&lt;&gt;"Sí",O222&lt;&gt;"Sí"),"Pendiente","Cerrado"),IF(D222="Batería","Cerrado","Revisar"))))</f>
        <v/>
      </c>
      <c r="S222" s="25">
        <f>IF(A222="","",IF(B222="","Falta la sesión",IF(C222="","Falta el soporte",IF(D222="","Soporte no encontrado",IF(COUNTIFS(tblControl[ID del soporte],C222,tblControl[Estado del control],"Abierto")&gt;1,"Soporte asignado más de una vez",IF(F222="","Falta la fecha de salida",IF(AND(I222&lt;&gt;"",I222&lt;F222),"La devolución es anterior a la salida",IF(AND(D222="Batería",G222=""),"Falta la carga de salida",IF(AND(D222="Batería",G222&lt;Resumen!$C$3),"Carga de salida inferior al mínimo",IF(AND(D222="Tarjeta",H222=""),"Falta el espacio libre de salida",IF(AND(D222="Tarjeta",I222&lt;&gt;"",L222&lt;&gt;"Sí"),"Descarga pendiente",IF(AND(D222="Tarjeta",L222="Sí",N222&lt;&gt;"Sí"),"Verificación pendiente",IF(AND(D222="Tarjeta",N222="Sí",O222&lt;&gt;"Sí"),"Borrado pendiente",IF(Q222&lt;&gt;"","Revisar incidencia","Correcto"))))))))))))))</f>
        <v/>
      </c>
      <c r="T222" s="20" t="n"/>
    </row>
    <row r="223" ht="22" customHeight="1">
      <c r="A223" s="20" t="n"/>
      <c r="B223" s="20" t="n"/>
      <c r="C223" s="20" t="n"/>
      <c r="D223" s="23">
        <f>IF(C223="","",IFERROR(_xlfn.XLOOKUP(C223,tblInventario[ID del soporte],tblInventario[Tipo],""),""))</f>
        <v/>
      </c>
      <c r="E223" s="20" t="n"/>
      <c r="F223" s="22" t="n"/>
      <c r="G223" s="20" t="n"/>
      <c r="H223" s="21" t="n"/>
      <c r="I223" s="22" t="n"/>
      <c r="J223" s="20" t="n"/>
      <c r="K223" s="21" t="n"/>
      <c r="L223" s="20" t="n"/>
      <c r="M223" s="22" t="n"/>
      <c r="N223" s="20" t="n"/>
      <c r="O223" s="20" t="n"/>
      <c r="P223" s="22" t="n"/>
      <c r="Q223" s="26" t="n"/>
      <c r="R223" s="23">
        <f>IF(A223="","",IF(I223="","Abierto",IF(D223="Tarjeta",IF(OR(L223&lt;&gt;"Sí",N223&lt;&gt;"Sí",O223&lt;&gt;"Sí"),"Pendiente","Cerrado"),IF(D223="Batería","Cerrado","Revisar"))))</f>
        <v/>
      </c>
      <c r="S223" s="25">
        <f>IF(A223="","",IF(B223="","Falta la sesión",IF(C223="","Falta el soporte",IF(D223="","Soporte no encontrado",IF(COUNTIFS(tblControl[ID del soporte],C223,tblControl[Estado del control],"Abierto")&gt;1,"Soporte asignado más de una vez",IF(F223="","Falta la fecha de salida",IF(AND(I223&lt;&gt;"",I223&lt;F223),"La devolución es anterior a la salida",IF(AND(D223="Batería",G223=""),"Falta la carga de salida",IF(AND(D223="Batería",G223&lt;Resumen!$C$3),"Carga de salida inferior al mínimo",IF(AND(D223="Tarjeta",H223=""),"Falta el espacio libre de salida",IF(AND(D223="Tarjeta",I223&lt;&gt;"",L223&lt;&gt;"Sí"),"Descarga pendiente",IF(AND(D223="Tarjeta",L223="Sí",N223&lt;&gt;"Sí"),"Verificación pendiente",IF(AND(D223="Tarjeta",N223="Sí",O223&lt;&gt;"Sí"),"Borrado pendiente",IF(Q223&lt;&gt;"","Revisar incidencia","Correcto"))))))))))))))</f>
        <v/>
      </c>
      <c r="T223" s="20" t="n"/>
    </row>
    <row r="224" ht="22" customHeight="1">
      <c r="A224" s="20" t="n"/>
      <c r="B224" s="20" t="n"/>
      <c r="C224" s="20" t="n"/>
      <c r="D224" s="23">
        <f>IF(C224="","",IFERROR(_xlfn.XLOOKUP(C224,tblInventario[ID del soporte],tblInventario[Tipo],""),""))</f>
        <v/>
      </c>
      <c r="E224" s="20" t="n"/>
      <c r="F224" s="22" t="n"/>
      <c r="G224" s="20" t="n"/>
      <c r="H224" s="21" t="n"/>
      <c r="I224" s="22" t="n"/>
      <c r="J224" s="20" t="n"/>
      <c r="K224" s="21" t="n"/>
      <c r="L224" s="20" t="n"/>
      <c r="M224" s="22" t="n"/>
      <c r="N224" s="20" t="n"/>
      <c r="O224" s="20" t="n"/>
      <c r="P224" s="22" t="n"/>
      <c r="Q224" s="26" t="n"/>
      <c r="R224" s="23">
        <f>IF(A224="","",IF(I224="","Abierto",IF(D224="Tarjeta",IF(OR(L224&lt;&gt;"Sí",N224&lt;&gt;"Sí",O224&lt;&gt;"Sí"),"Pendiente","Cerrado"),IF(D224="Batería","Cerrado","Revisar"))))</f>
        <v/>
      </c>
      <c r="S224" s="25">
        <f>IF(A224="","",IF(B224="","Falta la sesión",IF(C224="","Falta el soporte",IF(D224="","Soporte no encontrado",IF(COUNTIFS(tblControl[ID del soporte],C224,tblControl[Estado del control],"Abierto")&gt;1,"Soporte asignado más de una vez",IF(F224="","Falta la fecha de salida",IF(AND(I224&lt;&gt;"",I224&lt;F224),"La devolución es anterior a la salida",IF(AND(D224="Batería",G224=""),"Falta la carga de salida",IF(AND(D224="Batería",G224&lt;Resumen!$C$3),"Carga de salida inferior al mínimo",IF(AND(D224="Tarjeta",H224=""),"Falta el espacio libre de salida",IF(AND(D224="Tarjeta",I224&lt;&gt;"",L224&lt;&gt;"Sí"),"Descarga pendiente",IF(AND(D224="Tarjeta",L224="Sí",N224&lt;&gt;"Sí"),"Verificación pendiente",IF(AND(D224="Tarjeta",N224="Sí",O224&lt;&gt;"Sí"),"Borrado pendiente",IF(Q224&lt;&gt;"","Revisar incidencia","Correcto"))))))))))))))</f>
        <v/>
      </c>
      <c r="T224" s="20" t="n"/>
    </row>
    <row r="225" ht="22" customHeight="1">
      <c r="A225" s="20" t="n"/>
      <c r="B225" s="20" t="n"/>
      <c r="C225" s="20" t="n"/>
      <c r="D225" s="23">
        <f>IF(C225="","",IFERROR(_xlfn.XLOOKUP(C225,tblInventario[ID del soporte],tblInventario[Tipo],""),""))</f>
        <v/>
      </c>
      <c r="E225" s="20" t="n"/>
      <c r="F225" s="22" t="n"/>
      <c r="G225" s="20" t="n"/>
      <c r="H225" s="21" t="n"/>
      <c r="I225" s="22" t="n"/>
      <c r="J225" s="20" t="n"/>
      <c r="K225" s="21" t="n"/>
      <c r="L225" s="20" t="n"/>
      <c r="M225" s="22" t="n"/>
      <c r="N225" s="20" t="n"/>
      <c r="O225" s="20" t="n"/>
      <c r="P225" s="22" t="n"/>
      <c r="Q225" s="26" t="n"/>
      <c r="R225" s="23">
        <f>IF(A225="","",IF(I225="","Abierto",IF(D225="Tarjeta",IF(OR(L225&lt;&gt;"Sí",N225&lt;&gt;"Sí",O225&lt;&gt;"Sí"),"Pendiente","Cerrado"),IF(D225="Batería","Cerrado","Revisar"))))</f>
        <v/>
      </c>
      <c r="S225" s="25">
        <f>IF(A225="","",IF(B225="","Falta la sesión",IF(C225="","Falta el soporte",IF(D225="","Soporte no encontrado",IF(COUNTIFS(tblControl[ID del soporte],C225,tblControl[Estado del control],"Abierto")&gt;1,"Soporte asignado más de una vez",IF(F225="","Falta la fecha de salida",IF(AND(I225&lt;&gt;"",I225&lt;F225),"La devolución es anterior a la salida",IF(AND(D225="Batería",G225=""),"Falta la carga de salida",IF(AND(D225="Batería",G225&lt;Resumen!$C$3),"Carga de salida inferior al mínimo",IF(AND(D225="Tarjeta",H225=""),"Falta el espacio libre de salida",IF(AND(D225="Tarjeta",I225&lt;&gt;"",L225&lt;&gt;"Sí"),"Descarga pendiente",IF(AND(D225="Tarjeta",L225="Sí",N225&lt;&gt;"Sí"),"Verificación pendiente",IF(AND(D225="Tarjeta",N225="Sí",O225&lt;&gt;"Sí"),"Borrado pendiente",IF(Q225&lt;&gt;"","Revisar incidencia","Correcto"))))))))))))))</f>
        <v/>
      </c>
      <c r="T225" s="20" t="n"/>
    </row>
    <row r="226" ht="22" customHeight="1">
      <c r="A226" s="20" t="n"/>
      <c r="B226" s="20" t="n"/>
      <c r="C226" s="20" t="n"/>
      <c r="D226" s="23">
        <f>IF(C226="","",IFERROR(_xlfn.XLOOKUP(C226,tblInventario[ID del soporte],tblInventario[Tipo],""),""))</f>
        <v/>
      </c>
      <c r="E226" s="20" t="n"/>
      <c r="F226" s="22" t="n"/>
      <c r="G226" s="20" t="n"/>
      <c r="H226" s="21" t="n"/>
      <c r="I226" s="22" t="n"/>
      <c r="J226" s="20" t="n"/>
      <c r="K226" s="21" t="n"/>
      <c r="L226" s="20" t="n"/>
      <c r="M226" s="22" t="n"/>
      <c r="N226" s="20" t="n"/>
      <c r="O226" s="20" t="n"/>
      <c r="P226" s="22" t="n"/>
      <c r="Q226" s="26" t="n"/>
      <c r="R226" s="23">
        <f>IF(A226="","",IF(I226="","Abierto",IF(D226="Tarjeta",IF(OR(L226&lt;&gt;"Sí",N226&lt;&gt;"Sí",O226&lt;&gt;"Sí"),"Pendiente","Cerrado"),IF(D226="Batería","Cerrado","Revisar"))))</f>
        <v/>
      </c>
      <c r="S226" s="25">
        <f>IF(A226="","",IF(B226="","Falta la sesión",IF(C226="","Falta el soporte",IF(D226="","Soporte no encontrado",IF(COUNTIFS(tblControl[ID del soporte],C226,tblControl[Estado del control],"Abierto")&gt;1,"Soporte asignado más de una vez",IF(F226="","Falta la fecha de salida",IF(AND(I226&lt;&gt;"",I226&lt;F226),"La devolución es anterior a la salida",IF(AND(D226="Batería",G226=""),"Falta la carga de salida",IF(AND(D226="Batería",G226&lt;Resumen!$C$3),"Carga de salida inferior al mínimo",IF(AND(D226="Tarjeta",H226=""),"Falta el espacio libre de salida",IF(AND(D226="Tarjeta",I226&lt;&gt;"",L226&lt;&gt;"Sí"),"Descarga pendiente",IF(AND(D226="Tarjeta",L226="Sí",N226&lt;&gt;"Sí"),"Verificación pendiente",IF(AND(D226="Tarjeta",N226="Sí",O226&lt;&gt;"Sí"),"Borrado pendiente",IF(Q226&lt;&gt;"","Revisar incidencia","Correcto"))))))))))))))</f>
        <v/>
      </c>
      <c r="T226" s="20" t="n"/>
    </row>
    <row r="227" ht="22" customHeight="1">
      <c r="A227" s="20" t="n"/>
      <c r="B227" s="20" t="n"/>
      <c r="C227" s="20" t="n"/>
      <c r="D227" s="23">
        <f>IF(C227="","",IFERROR(_xlfn.XLOOKUP(C227,tblInventario[ID del soporte],tblInventario[Tipo],""),""))</f>
        <v/>
      </c>
      <c r="E227" s="20" t="n"/>
      <c r="F227" s="22" t="n"/>
      <c r="G227" s="20" t="n"/>
      <c r="H227" s="21" t="n"/>
      <c r="I227" s="22" t="n"/>
      <c r="J227" s="20" t="n"/>
      <c r="K227" s="21" t="n"/>
      <c r="L227" s="20" t="n"/>
      <c r="M227" s="22" t="n"/>
      <c r="N227" s="20" t="n"/>
      <c r="O227" s="20" t="n"/>
      <c r="P227" s="22" t="n"/>
      <c r="Q227" s="26" t="n"/>
      <c r="R227" s="23">
        <f>IF(A227="","",IF(I227="","Abierto",IF(D227="Tarjeta",IF(OR(L227&lt;&gt;"Sí",N227&lt;&gt;"Sí",O227&lt;&gt;"Sí"),"Pendiente","Cerrado"),IF(D227="Batería","Cerrado","Revisar"))))</f>
        <v/>
      </c>
      <c r="S227" s="25">
        <f>IF(A227="","",IF(B227="","Falta la sesión",IF(C227="","Falta el soporte",IF(D227="","Soporte no encontrado",IF(COUNTIFS(tblControl[ID del soporte],C227,tblControl[Estado del control],"Abierto")&gt;1,"Soporte asignado más de una vez",IF(F227="","Falta la fecha de salida",IF(AND(I227&lt;&gt;"",I227&lt;F227),"La devolución es anterior a la salida",IF(AND(D227="Batería",G227=""),"Falta la carga de salida",IF(AND(D227="Batería",G227&lt;Resumen!$C$3),"Carga de salida inferior al mínimo",IF(AND(D227="Tarjeta",H227=""),"Falta el espacio libre de salida",IF(AND(D227="Tarjeta",I227&lt;&gt;"",L227&lt;&gt;"Sí"),"Descarga pendiente",IF(AND(D227="Tarjeta",L227="Sí",N227&lt;&gt;"Sí"),"Verificación pendiente",IF(AND(D227="Tarjeta",N227="Sí",O227&lt;&gt;"Sí"),"Borrado pendiente",IF(Q227&lt;&gt;"","Revisar incidencia","Correcto"))))))))))))))</f>
        <v/>
      </c>
      <c r="T227" s="20" t="n"/>
    </row>
    <row r="228" ht="22" customHeight="1">
      <c r="A228" s="20" t="n"/>
      <c r="B228" s="20" t="n"/>
      <c r="C228" s="20" t="n"/>
      <c r="D228" s="23">
        <f>IF(C228="","",IFERROR(_xlfn.XLOOKUP(C228,tblInventario[ID del soporte],tblInventario[Tipo],""),""))</f>
        <v/>
      </c>
      <c r="E228" s="20" t="n"/>
      <c r="F228" s="22" t="n"/>
      <c r="G228" s="20" t="n"/>
      <c r="H228" s="21" t="n"/>
      <c r="I228" s="22" t="n"/>
      <c r="J228" s="20" t="n"/>
      <c r="K228" s="21" t="n"/>
      <c r="L228" s="20" t="n"/>
      <c r="M228" s="22" t="n"/>
      <c r="N228" s="20" t="n"/>
      <c r="O228" s="20" t="n"/>
      <c r="P228" s="22" t="n"/>
      <c r="Q228" s="26" t="n"/>
      <c r="R228" s="23">
        <f>IF(A228="","",IF(I228="","Abierto",IF(D228="Tarjeta",IF(OR(L228&lt;&gt;"Sí",N228&lt;&gt;"Sí",O228&lt;&gt;"Sí"),"Pendiente","Cerrado"),IF(D228="Batería","Cerrado","Revisar"))))</f>
        <v/>
      </c>
      <c r="S228" s="25">
        <f>IF(A228="","",IF(B228="","Falta la sesión",IF(C228="","Falta el soporte",IF(D228="","Soporte no encontrado",IF(COUNTIFS(tblControl[ID del soporte],C228,tblControl[Estado del control],"Abierto")&gt;1,"Soporte asignado más de una vez",IF(F228="","Falta la fecha de salida",IF(AND(I228&lt;&gt;"",I228&lt;F228),"La devolución es anterior a la salida",IF(AND(D228="Batería",G228=""),"Falta la carga de salida",IF(AND(D228="Batería",G228&lt;Resumen!$C$3),"Carga de salida inferior al mínimo",IF(AND(D228="Tarjeta",H228=""),"Falta el espacio libre de salida",IF(AND(D228="Tarjeta",I228&lt;&gt;"",L228&lt;&gt;"Sí"),"Descarga pendiente",IF(AND(D228="Tarjeta",L228="Sí",N228&lt;&gt;"Sí"),"Verificación pendiente",IF(AND(D228="Tarjeta",N228="Sí",O228&lt;&gt;"Sí"),"Borrado pendiente",IF(Q228&lt;&gt;"","Revisar incidencia","Correcto"))))))))))))))</f>
        <v/>
      </c>
      <c r="T228" s="20" t="n"/>
    </row>
    <row r="229" ht="22" customHeight="1">
      <c r="A229" s="20" t="n"/>
      <c r="B229" s="20" t="n"/>
      <c r="C229" s="20" t="n"/>
      <c r="D229" s="23">
        <f>IF(C229="","",IFERROR(_xlfn.XLOOKUP(C229,tblInventario[ID del soporte],tblInventario[Tipo],""),""))</f>
        <v/>
      </c>
      <c r="E229" s="20" t="n"/>
      <c r="F229" s="22" t="n"/>
      <c r="G229" s="20" t="n"/>
      <c r="H229" s="21" t="n"/>
      <c r="I229" s="22" t="n"/>
      <c r="J229" s="20" t="n"/>
      <c r="K229" s="21" t="n"/>
      <c r="L229" s="20" t="n"/>
      <c r="M229" s="22" t="n"/>
      <c r="N229" s="20" t="n"/>
      <c r="O229" s="20" t="n"/>
      <c r="P229" s="22" t="n"/>
      <c r="Q229" s="26" t="n"/>
      <c r="R229" s="23">
        <f>IF(A229="","",IF(I229="","Abierto",IF(D229="Tarjeta",IF(OR(L229&lt;&gt;"Sí",N229&lt;&gt;"Sí",O229&lt;&gt;"Sí"),"Pendiente","Cerrado"),IF(D229="Batería","Cerrado","Revisar"))))</f>
        <v/>
      </c>
      <c r="S229" s="25">
        <f>IF(A229="","",IF(B229="","Falta la sesión",IF(C229="","Falta el soporte",IF(D229="","Soporte no encontrado",IF(COUNTIFS(tblControl[ID del soporte],C229,tblControl[Estado del control],"Abierto")&gt;1,"Soporte asignado más de una vez",IF(F229="","Falta la fecha de salida",IF(AND(I229&lt;&gt;"",I229&lt;F229),"La devolución es anterior a la salida",IF(AND(D229="Batería",G229=""),"Falta la carga de salida",IF(AND(D229="Batería",G229&lt;Resumen!$C$3),"Carga de salida inferior al mínimo",IF(AND(D229="Tarjeta",H229=""),"Falta el espacio libre de salida",IF(AND(D229="Tarjeta",I229&lt;&gt;"",L229&lt;&gt;"Sí"),"Descarga pendiente",IF(AND(D229="Tarjeta",L229="Sí",N229&lt;&gt;"Sí"),"Verificación pendiente",IF(AND(D229="Tarjeta",N229="Sí",O229&lt;&gt;"Sí"),"Borrado pendiente",IF(Q229&lt;&gt;"","Revisar incidencia","Correcto"))))))))))))))</f>
        <v/>
      </c>
      <c r="T229" s="20" t="n"/>
    </row>
    <row r="230" ht="22" customHeight="1">
      <c r="A230" s="20" t="n"/>
      <c r="B230" s="20" t="n"/>
      <c r="C230" s="20" t="n"/>
      <c r="D230" s="23">
        <f>IF(C230="","",IFERROR(_xlfn.XLOOKUP(C230,tblInventario[ID del soporte],tblInventario[Tipo],""),""))</f>
        <v/>
      </c>
      <c r="E230" s="20" t="n"/>
      <c r="F230" s="22" t="n"/>
      <c r="G230" s="20" t="n"/>
      <c r="H230" s="21" t="n"/>
      <c r="I230" s="22" t="n"/>
      <c r="J230" s="20" t="n"/>
      <c r="K230" s="21" t="n"/>
      <c r="L230" s="20" t="n"/>
      <c r="M230" s="22" t="n"/>
      <c r="N230" s="20" t="n"/>
      <c r="O230" s="20" t="n"/>
      <c r="P230" s="22" t="n"/>
      <c r="Q230" s="26" t="n"/>
      <c r="R230" s="23">
        <f>IF(A230="","",IF(I230="","Abierto",IF(D230="Tarjeta",IF(OR(L230&lt;&gt;"Sí",N230&lt;&gt;"Sí",O230&lt;&gt;"Sí"),"Pendiente","Cerrado"),IF(D230="Batería","Cerrado","Revisar"))))</f>
        <v/>
      </c>
      <c r="S230" s="25">
        <f>IF(A230="","",IF(B230="","Falta la sesión",IF(C230="","Falta el soporte",IF(D230="","Soporte no encontrado",IF(COUNTIFS(tblControl[ID del soporte],C230,tblControl[Estado del control],"Abierto")&gt;1,"Soporte asignado más de una vez",IF(F230="","Falta la fecha de salida",IF(AND(I230&lt;&gt;"",I230&lt;F230),"La devolución es anterior a la salida",IF(AND(D230="Batería",G230=""),"Falta la carga de salida",IF(AND(D230="Batería",G230&lt;Resumen!$C$3),"Carga de salida inferior al mínimo",IF(AND(D230="Tarjeta",H230=""),"Falta el espacio libre de salida",IF(AND(D230="Tarjeta",I230&lt;&gt;"",L230&lt;&gt;"Sí"),"Descarga pendiente",IF(AND(D230="Tarjeta",L230="Sí",N230&lt;&gt;"Sí"),"Verificación pendiente",IF(AND(D230="Tarjeta",N230="Sí",O230&lt;&gt;"Sí"),"Borrado pendiente",IF(Q230&lt;&gt;"","Revisar incidencia","Correcto"))))))))))))))</f>
        <v/>
      </c>
      <c r="T230" s="20" t="n"/>
    </row>
    <row r="231" ht="22" customHeight="1">
      <c r="A231" s="20" t="n"/>
      <c r="B231" s="20" t="n"/>
      <c r="C231" s="20" t="n"/>
      <c r="D231" s="23">
        <f>IF(C231="","",IFERROR(_xlfn.XLOOKUP(C231,tblInventario[ID del soporte],tblInventario[Tipo],""),""))</f>
        <v/>
      </c>
      <c r="E231" s="20" t="n"/>
      <c r="F231" s="22" t="n"/>
      <c r="G231" s="20" t="n"/>
      <c r="H231" s="21" t="n"/>
      <c r="I231" s="22" t="n"/>
      <c r="J231" s="20" t="n"/>
      <c r="K231" s="21" t="n"/>
      <c r="L231" s="20" t="n"/>
      <c r="M231" s="22" t="n"/>
      <c r="N231" s="20" t="n"/>
      <c r="O231" s="20" t="n"/>
      <c r="P231" s="22" t="n"/>
      <c r="Q231" s="26" t="n"/>
      <c r="R231" s="23">
        <f>IF(A231="","",IF(I231="","Abierto",IF(D231="Tarjeta",IF(OR(L231&lt;&gt;"Sí",N231&lt;&gt;"Sí",O231&lt;&gt;"Sí"),"Pendiente","Cerrado"),IF(D231="Batería","Cerrado","Revisar"))))</f>
        <v/>
      </c>
      <c r="S231" s="25">
        <f>IF(A231="","",IF(B231="","Falta la sesión",IF(C231="","Falta el soporte",IF(D231="","Soporte no encontrado",IF(COUNTIFS(tblControl[ID del soporte],C231,tblControl[Estado del control],"Abierto")&gt;1,"Soporte asignado más de una vez",IF(F231="","Falta la fecha de salida",IF(AND(I231&lt;&gt;"",I231&lt;F231),"La devolución es anterior a la salida",IF(AND(D231="Batería",G231=""),"Falta la carga de salida",IF(AND(D231="Batería",G231&lt;Resumen!$C$3),"Carga de salida inferior al mínimo",IF(AND(D231="Tarjeta",H231=""),"Falta el espacio libre de salida",IF(AND(D231="Tarjeta",I231&lt;&gt;"",L231&lt;&gt;"Sí"),"Descarga pendiente",IF(AND(D231="Tarjeta",L231="Sí",N231&lt;&gt;"Sí"),"Verificación pendiente",IF(AND(D231="Tarjeta",N231="Sí",O231&lt;&gt;"Sí"),"Borrado pendiente",IF(Q231&lt;&gt;"","Revisar incidencia","Correcto"))))))))))))))</f>
        <v/>
      </c>
      <c r="T231" s="20" t="n"/>
    </row>
    <row r="232" ht="22" customHeight="1">
      <c r="A232" s="20" t="n"/>
      <c r="B232" s="20" t="n"/>
      <c r="C232" s="20" t="n"/>
      <c r="D232" s="23">
        <f>IF(C232="","",IFERROR(_xlfn.XLOOKUP(C232,tblInventario[ID del soporte],tblInventario[Tipo],""),""))</f>
        <v/>
      </c>
      <c r="E232" s="20" t="n"/>
      <c r="F232" s="22" t="n"/>
      <c r="G232" s="20" t="n"/>
      <c r="H232" s="21" t="n"/>
      <c r="I232" s="22" t="n"/>
      <c r="J232" s="20" t="n"/>
      <c r="K232" s="21" t="n"/>
      <c r="L232" s="20" t="n"/>
      <c r="M232" s="22" t="n"/>
      <c r="N232" s="20" t="n"/>
      <c r="O232" s="20" t="n"/>
      <c r="P232" s="22" t="n"/>
      <c r="Q232" s="26" t="n"/>
      <c r="R232" s="23">
        <f>IF(A232="","",IF(I232="","Abierto",IF(D232="Tarjeta",IF(OR(L232&lt;&gt;"Sí",N232&lt;&gt;"Sí",O232&lt;&gt;"Sí"),"Pendiente","Cerrado"),IF(D232="Batería","Cerrado","Revisar"))))</f>
        <v/>
      </c>
      <c r="S232" s="25">
        <f>IF(A232="","",IF(B232="","Falta la sesión",IF(C232="","Falta el soporte",IF(D232="","Soporte no encontrado",IF(COUNTIFS(tblControl[ID del soporte],C232,tblControl[Estado del control],"Abierto")&gt;1,"Soporte asignado más de una vez",IF(F232="","Falta la fecha de salida",IF(AND(I232&lt;&gt;"",I232&lt;F232),"La devolución es anterior a la salida",IF(AND(D232="Batería",G232=""),"Falta la carga de salida",IF(AND(D232="Batería",G232&lt;Resumen!$C$3),"Carga de salida inferior al mínimo",IF(AND(D232="Tarjeta",H232=""),"Falta el espacio libre de salida",IF(AND(D232="Tarjeta",I232&lt;&gt;"",L232&lt;&gt;"Sí"),"Descarga pendiente",IF(AND(D232="Tarjeta",L232="Sí",N232&lt;&gt;"Sí"),"Verificación pendiente",IF(AND(D232="Tarjeta",N232="Sí",O232&lt;&gt;"Sí"),"Borrado pendiente",IF(Q232&lt;&gt;"","Revisar incidencia","Correcto"))))))))))))))</f>
        <v/>
      </c>
      <c r="T232" s="20" t="n"/>
    </row>
    <row r="233" ht="22" customHeight="1">
      <c r="A233" s="20" t="n"/>
      <c r="B233" s="20" t="n"/>
      <c r="C233" s="20" t="n"/>
      <c r="D233" s="23">
        <f>IF(C233="","",IFERROR(_xlfn.XLOOKUP(C233,tblInventario[ID del soporte],tblInventario[Tipo],""),""))</f>
        <v/>
      </c>
      <c r="E233" s="20" t="n"/>
      <c r="F233" s="22" t="n"/>
      <c r="G233" s="20" t="n"/>
      <c r="H233" s="21" t="n"/>
      <c r="I233" s="22" t="n"/>
      <c r="J233" s="20" t="n"/>
      <c r="K233" s="21" t="n"/>
      <c r="L233" s="20" t="n"/>
      <c r="M233" s="22" t="n"/>
      <c r="N233" s="20" t="n"/>
      <c r="O233" s="20" t="n"/>
      <c r="P233" s="22" t="n"/>
      <c r="Q233" s="26" t="n"/>
      <c r="R233" s="23">
        <f>IF(A233="","",IF(I233="","Abierto",IF(D233="Tarjeta",IF(OR(L233&lt;&gt;"Sí",N233&lt;&gt;"Sí",O233&lt;&gt;"Sí"),"Pendiente","Cerrado"),IF(D233="Batería","Cerrado","Revisar"))))</f>
        <v/>
      </c>
      <c r="S233" s="25">
        <f>IF(A233="","",IF(B233="","Falta la sesión",IF(C233="","Falta el soporte",IF(D233="","Soporte no encontrado",IF(COUNTIFS(tblControl[ID del soporte],C233,tblControl[Estado del control],"Abierto")&gt;1,"Soporte asignado más de una vez",IF(F233="","Falta la fecha de salida",IF(AND(I233&lt;&gt;"",I233&lt;F233),"La devolución es anterior a la salida",IF(AND(D233="Batería",G233=""),"Falta la carga de salida",IF(AND(D233="Batería",G233&lt;Resumen!$C$3),"Carga de salida inferior al mínimo",IF(AND(D233="Tarjeta",H233=""),"Falta el espacio libre de salida",IF(AND(D233="Tarjeta",I233&lt;&gt;"",L233&lt;&gt;"Sí"),"Descarga pendiente",IF(AND(D233="Tarjeta",L233="Sí",N233&lt;&gt;"Sí"),"Verificación pendiente",IF(AND(D233="Tarjeta",N233="Sí",O233&lt;&gt;"Sí"),"Borrado pendiente",IF(Q233&lt;&gt;"","Revisar incidencia","Correcto"))))))))))))))</f>
        <v/>
      </c>
      <c r="T233" s="20" t="n"/>
    </row>
    <row r="234" ht="22" customHeight="1">
      <c r="A234" s="20" t="n"/>
      <c r="B234" s="20" t="n"/>
      <c r="C234" s="20" t="n"/>
      <c r="D234" s="23">
        <f>IF(C234="","",IFERROR(_xlfn.XLOOKUP(C234,tblInventario[ID del soporte],tblInventario[Tipo],""),""))</f>
        <v/>
      </c>
      <c r="E234" s="20" t="n"/>
      <c r="F234" s="22" t="n"/>
      <c r="G234" s="20" t="n"/>
      <c r="H234" s="21" t="n"/>
      <c r="I234" s="22" t="n"/>
      <c r="J234" s="20" t="n"/>
      <c r="K234" s="21" t="n"/>
      <c r="L234" s="20" t="n"/>
      <c r="M234" s="22" t="n"/>
      <c r="N234" s="20" t="n"/>
      <c r="O234" s="20" t="n"/>
      <c r="P234" s="22" t="n"/>
      <c r="Q234" s="26" t="n"/>
      <c r="R234" s="23">
        <f>IF(A234="","",IF(I234="","Abierto",IF(D234="Tarjeta",IF(OR(L234&lt;&gt;"Sí",N234&lt;&gt;"Sí",O234&lt;&gt;"Sí"),"Pendiente","Cerrado"),IF(D234="Batería","Cerrado","Revisar"))))</f>
        <v/>
      </c>
      <c r="S234" s="25">
        <f>IF(A234="","",IF(B234="","Falta la sesión",IF(C234="","Falta el soporte",IF(D234="","Soporte no encontrado",IF(COUNTIFS(tblControl[ID del soporte],C234,tblControl[Estado del control],"Abierto")&gt;1,"Soporte asignado más de una vez",IF(F234="","Falta la fecha de salida",IF(AND(I234&lt;&gt;"",I234&lt;F234),"La devolución es anterior a la salida",IF(AND(D234="Batería",G234=""),"Falta la carga de salida",IF(AND(D234="Batería",G234&lt;Resumen!$C$3),"Carga de salida inferior al mínimo",IF(AND(D234="Tarjeta",H234=""),"Falta el espacio libre de salida",IF(AND(D234="Tarjeta",I234&lt;&gt;"",L234&lt;&gt;"Sí"),"Descarga pendiente",IF(AND(D234="Tarjeta",L234="Sí",N234&lt;&gt;"Sí"),"Verificación pendiente",IF(AND(D234="Tarjeta",N234="Sí",O234&lt;&gt;"Sí"),"Borrado pendiente",IF(Q234&lt;&gt;"","Revisar incidencia","Correcto"))))))))))))))</f>
        <v/>
      </c>
      <c r="T234" s="20" t="n"/>
    </row>
    <row r="235" ht="22" customHeight="1">
      <c r="A235" s="20" t="n"/>
      <c r="B235" s="20" t="n"/>
      <c r="C235" s="20" t="n"/>
      <c r="D235" s="23">
        <f>IF(C235="","",IFERROR(_xlfn.XLOOKUP(C235,tblInventario[ID del soporte],tblInventario[Tipo],""),""))</f>
        <v/>
      </c>
      <c r="E235" s="20" t="n"/>
      <c r="F235" s="22" t="n"/>
      <c r="G235" s="20" t="n"/>
      <c r="H235" s="21" t="n"/>
      <c r="I235" s="22" t="n"/>
      <c r="J235" s="20" t="n"/>
      <c r="K235" s="21" t="n"/>
      <c r="L235" s="20" t="n"/>
      <c r="M235" s="22" t="n"/>
      <c r="N235" s="20" t="n"/>
      <c r="O235" s="20" t="n"/>
      <c r="P235" s="22" t="n"/>
      <c r="Q235" s="26" t="n"/>
      <c r="R235" s="23">
        <f>IF(A235="","",IF(I235="","Abierto",IF(D235="Tarjeta",IF(OR(L235&lt;&gt;"Sí",N235&lt;&gt;"Sí",O235&lt;&gt;"Sí"),"Pendiente","Cerrado"),IF(D235="Batería","Cerrado","Revisar"))))</f>
        <v/>
      </c>
      <c r="S235" s="25">
        <f>IF(A235="","",IF(B235="","Falta la sesión",IF(C235="","Falta el soporte",IF(D235="","Soporte no encontrado",IF(COUNTIFS(tblControl[ID del soporte],C235,tblControl[Estado del control],"Abierto")&gt;1,"Soporte asignado más de una vez",IF(F235="","Falta la fecha de salida",IF(AND(I235&lt;&gt;"",I235&lt;F235),"La devolución es anterior a la salida",IF(AND(D235="Batería",G235=""),"Falta la carga de salida",IF(AND(D235="Batería",G235&lt;Resumen!$C$3),"Carga de salida inferior al mínimo",IF(AND(D235="Tarjeta",H235=""),"Falta el espacio libre de salida",IF(AND(D235="Tarjeta",I235&lt;&gt;"",L235&lt;&gt;"Sí"),"Descarga pendiente",IF(AND(D235="Tarjeta",L235="Sí",N235&lt;&gt;"Sí"),"Verificación pendiente",IF(AND(D235="Tarjeta",N235="Sí",O235&lt;&gt;"Sí"),"Borrado pendiente",IF(Q235&lt;&gt;"","Revisar incidencia","Correcto"))))))))))))))</f>
        <v/>
      </c>
      <c r="T235" s="20" t="n"/>
    </row>
    <row r="236" ht="22" customHeight="1">
      <c r="A236" s="20" t="n"/>
      <c r="B236" s="20" t="n"/>
      <c r="C236" s="20" t="n"/>
      <c r="D236" s="23">
        <f>IF(C236="","",IFERROR(_xlfn.XLOOKUP(C236,tblInventario[ID del soporte],tblInventario[Tipo],""),""))</f>
        <v/>
      </c>
      <c r="E236" s="20" t="n"/>
      <c r="F236" s="22" t="n"/>
      <c r="G236" s="20" t="n"/>
      <c r="H236" s="21" t="n"/>
      <c r="I236" s="22" t="n"/>
      <c r="J236" s="20" t="n"/>
      <c r="K236" s="21" t="n"/>
      <c r="L236" s="20" t="n"/>
      <c r="M236" s="22" t="n"/>
      <c r="N236" s="20" t="n"/>
      <c r="O236" s="20" t="n"/>
      <c r="P236" s="22" t="n"/>
      <c r="Q236" s="26" t="n"/>
      <c r="R236" s="23">
        <f>IF(A236="","",IF(I236="","Abierto",IF(D236="Tarjeta",IF(OR(L236&lt;&gt;"Sí",N236&lt;&gt;"Sí",O236&lt;&gt;"Sí"),"Pendiente","Cerrado"),IF(D236="Batería","Cerrado","Revisar"))))</f>
        <v/>
      </c>
      <c r="S236" s="25">
        <f>IF(A236="","",IF(B236="","Falta la sesión",IF(C236="","Falta el soporte",IF(D236="","Soporte no encontrado",IF(COUNTIFS(tblControl[ID del soporte],C236,tblControl[Estado del control],"Abierto")&gt;1,"Soporte asignado más de una vez",IF(F236="","Falta la fecha de salida",IF(AND(I236&lt;&gt;"",I236&lt;F236),"La devolución es anterior a la salida",IF(AND(D236="Batería",G236=""),"Falta la carga de salida",IF(AND(D236="Batería",G236&lt;Resumen!$C$3),"Carga de salida inferior al mínimo",IF(AND(D236="Tarjeta",H236=""),"Falta el espacio libre de salida",IF(AND(D236="Tarjeta",I236&lt;&gt;"",L236&lt;&gt;"Sí"),"Descarga pendiente",IF(AND(D236="Tarjeta",L236="Sí",N236&lt;&gt;"Sí"),"Verificación pendiente",IF(AND(D236="Tarjeta",N236="Sí",O236&lt;&gt;"Sí"),"Borrado pendiente",IF(Q236&lt;&gt;"","Revisar incidencia","Correcto"))))))))))))))</f>
        <v/>
      </c>
      <c r="T236" s="20" t="n"/>
    </row>
    <row r="237" ht="22" customHeight="1">
      <c r="A237" s="20" t="n"/>
      <c r="B237" s="20" t="n"/>
      <c r="C237" s="20" t="n"/>
      <c r="D237" s="23">
        <f>IF(C237="","",IFERROR(_xlfn.XLOOKUP(C237,tblInventario[ID del soporte],tblInventario[Tipo],""),""))</f>
        <v/>
      </c>
      <c r="E237" s="20" t="n"/>
      <c r="F237" s="22" t="n"/>
      <c r="G237" s="20" t="n"/>
      <c r="H237" s="21" t="n"/>
      <c r="I237" s="22" t="n"/>
      <c r="J237" s="20" t="n"/>
      <c r="K237" s="21" t="n"/>
      <c r="L237" s="20" t="n"/>
      <c r="M237" s="22" t="n"/>
      <c r="N237" s="20" t="n"/>
      <c r="O237" s="20" t="n"/>
      <c r="P237" s="22" t="n"/>
      <c r="Q237" s="26" t="n"/>
      <c r="R237" s="23">
        <f>IF(A237="","",IF(I237="","Abierto",IF(D237="Tarjeta",IF(OR(L237&lt;&gt;"Sí",N237&lt;&gt;"Sí",O237&lt;&gt;"Sí"),"Pendiente","Cerrado"),IF(D237="Batería","Cerrado","Revisar"))))</f>
        <v/>
      </c>
      <c r="S237" s="25">
        <f>IF(A237="","",IF(B237="","Falta la sesión",IF(C237="","Falta el soporte",IF(D237="","Soporte no encontrado",IF(COUNTIFS(tblControl[ID del soporte],C237,tblControl[Estado del control],"Abierto")&gt;1,"Soporte asignado más de una vez",IF(F237="","Falta la fecha de salida",IF(AND(I237&lt;&gt;"",I237&lt;F237),"La devolución es anterior a la salida",IF(AND(D237="Batería",G237=""),"Falta la carga de salida",IF(AND(D237="Batería",G237&lt;Resumen!$C$3),"Carga de salida inferior al mínimo",IF(AND(D237="Tarjeta",H237=""),"Falta el espacio libre de salida",IF(AND(D237="Tarjeta",I237&lt;&gt;"",L237&lt;&gt;"Sí"),"Descarga pendiente",IF(AND(D237="Tarjeta",L237="Sí",N237&lt;&gt;"Sí"),"Verificación pendiente",IF(AND(D237="Tarjeta",N237="Sí",O237&lt;&gt;"Sí"),"Borrado pendiente",IF(Q237&lt;&gt;"","Revisar incidencia","Correcto"))))))))))))))</f>
        <v/>
      </c>
      <c r="T237" s="20" t="n"/>
    </row>
    <row r="238" ht="22" customHeight="1">
      <c r="A238" s="20" t="n"/>
      <c r="B238" s="20" t="n"/>
      <c r="C238" s="20" t="n"/>
      <c r="D238" s="23">
        <f>IF(C238="","",IFERROR(_xlfn.XLOOKUP(C238,tblInventario[ID del soporte],tblInventario[Tipo],""),""))</f>
        <v/>
      </c>
      <c r="E238" s="20" t="n"/>
      <c r="F238" s="22" t="n"/>
      <c r="G238" s="20" t="n"/>
      <c r="H238" s="21" t="n"/>
      <c r="I238" s="22" t="n"/>
      <c r="J238" s="20" t="n"/>
      <c r="K238" s="21" t="n"/>
      <c r="L238" s="20" t="n"/>
      <c r="M238" s="22" t="n"/>
      <c r="N238" s="20" t="n"/>
      <c r="O238" s="20" t="n"/>
      <c r="P238" s="22" t="n"/>
      <c r="Q238" s="26" t="n"/>
      <c r="R238" s="23">
        <f>IF(A238="","",IF(I238="","Abierto",IF(D238="Tarjeta",IF(OR(L238&lt;&gt;"Sí",N238&lt;&gt;"Sí",O238&lt;&gt;"Sí"),"Pendiente","Cerrado"),IF(D238="Batería","Cerrado","Revisar"))))</f>
        <v/>
      </c>
      <c r="S238" s="25">
        <f>IF(A238="","",IF(B238="","Falta la sesión",IF(C238="","Falta el soporte",IF(D238="","Soporte no encontrado",IF(COUNTIFS(tblControl[ID del soporte],C238,tblControl[Estado del control],"Abierto")&gt;1,"Soporte asignado más de una vez",IF(F238="","Falta la fecha de salida",IF(AND(I238&lt;&gt;"",I238&lt;F238),"La devolución es anterior a la salida",IF(AND(D238="Batería",G238=""),"Falta la carga de salida",IF(AND(D238="Batería",G238&lt;Resumen!$C$3),"Carga de salida inferior al mínimo",IF(AND(D238="Tarjeta",H238=""),"Falta el espacio libre de salida",IF(AND(D238="Tarjeta",I238&lt;&gt;"",L238&lt;&gt;"Sí"),"Descarga pendiente",IF(AND(D238="Tarjeta",L238="Sí",N238&lt;&gt;"Sí"),"Verificación pendiente",IF(AND(D238="Tarjeta",N238="Sí",O238&lt;&gt;"Sí"),"Borrado pendiente",IF(Q238&lt;&gt;"","Revisar incidencia","Correcto"))))))))))))))</f>
        <v/>
      </c>
      <c r="T238" s="20" t="n"/>
    </row>
    <row r="239" ht="22" customHeight="1">
      <c r="A239" s="20" t="n"/>
      <c r="B239" s="20" t="n"/>
      <c r="C239" s="20" t="n"/>
      <c r="D239" s="23">
        <f>IF(C239="","",IFERROR(_xlfn.XLOOKUP(C239,tblInventario[ID del soporte],tblInventario[Tipo],""),""))</f>
        <v/>
      </c>
      <c r="E239" s="20" t="n"/>
      <c r="F239" s="22" t="n"/>
      <c r="G239" s="20" t="n"/>
      <c r="H239" s="21" t="n"/>
      <c r="I239" s="22" t="n"/>
      <c r="J239" s="20" t="n"/>
      <c r="K239" s="21" t="n"/>
      <c r="L239" s="20" t="n"/>
      <c r="M239" s="22" t="n"/>
      <c r="N239" s="20" t="n"/>
      <c r="O239" s="20" t="n"/>
      <c r="P239" s="22" t="n"/>
      <c r="Q239" s="26" t="n"/>
      <c r="R239" s="23">
        <f>IF(A239="","",IF(I239="","Abierto",IF(D239="Tarjeta",IF(OR(L239&lt;&gt;"Sí",N239&lt;&gt;"Sí",O239&lt;&gt;"Sí"),"Pendiente","Cerrado"),IF(D239="Batería","Cerrado","Revisar"))))</f>
        <v/>
      </c>
      <c r="S239" s="25">
        <f>IF(A239="","",IF(B239="","Falta la sesión",IF(C239="","Falta el soporte",IF(D239="","Soporte no encontrado",IF(COUNTIFS(tblControl[ID del soporte],C239,tblControl[Estado del control],"Abierto")&gt;1,"Soporte asignado más de una vez",IF(F239="","Falta la fecha de salida",IF(AND(I239&lt;&gt;"",I239&lt;F239),"La devolución es anterior a la salida",IF(AND(D239="Batería",G239=""),"Falta la carga de salida",IF(AND(D239="Batería",G239&lt;Resumen!$C$3),"Carga de salida inferior al mínimo",IF(AND(D239="Tarjeta",H239=""),"Falta el espacio libre de salida",IF(AND(D239="Tarjeta",I239&lt;&gt;"",L239&lt;&gt;"Sí"),"Descarga pendiente",IF(AND(D239="Tarjeta",L239="Sí",N239&lt;&gt;"Sí"),"Verificación pendiente",IF(AND(D239="Tarjeta",N239="Sí",O239&lt;&gt;"Sí"),"Borrado pendiente",IF(Q239&lt;&gt;"","Revisar incidencia","Correcto"))))))))))))))</f>
        <v/>
      </c>
      <c r="T239" s="20" t="n"/>
    </row>
    <row r="240" ht="22" customHeight="1">
      <c r="A240" s="20" t="n"/>
      <c r="B240" s="20" t="n"/>
      <c r="C240" s="20" t="n"/>
      <c r="D240" s="23">
        <f>IF(C240="","",IFERROR(_xlfn.XLOOKUP(C240,tblInventario[ID del soporte],tblInventario[Tipo],""),""))</f>
        <v/>
      </c>
      <c r="E240" s="20" t="n"/>
      <c r="F240" s="22" t="n"/>
      <c r="G240" s="20" t="n"/>
      <c r="H240" s="21" t="n"/>
      <c r="I240" s="22" t="n"/>
      <c r="J240" s="20" t="n"/>
      <c r="K240" s="21" t="n"/>
      <c r="L240" s="20" t="n"/>
      <c r="M240" s="22" t="n"/>
      <c r="N240" s="20" t="n"/>
      <c r="O240" s="20" t="n"/>
      <c r="P240" s="22" t="n"/>
      <c r="Q240" s="26" t="n"/>
      <c r="R240" s="23">
        <f>IF(A240="","",IF(I240="","Abierto",IF(D240="Tarjeta",IF(OR(L240&lt;&gt;"Sí",N240&lt;&gt;"Sí",O240&lt;&gt;"Sí"),"Pendiente","Cerrado"),IF(D240="Batería","Cerrado","Revisar"))))</f>
        <v/>
      </c>
      <c r="S240" s="25">
        <f>IF(A240="","",IF(B240="","Falta la sesión",IF(C240="","Falta el soporte",IF(D240="","Soporte no encontrado",IF(COUNTIFS(tblControl[ID del soporte],C240,tblControl[Estado del control],"Abierto")&gt;1,"Soporte asignado más de una vez",IF(F240="","Falta la fecha de salida",IF(AND(I240&lt;&gt;"",I240&lt;F240),"La devolución es anterior a la salida",IF(AND(D240="Batería",G240=""),"Falta la carga de salida",IF(AND(D240="Batería",G240&lt;Resumen!$C$3),"Carga de salida inferior al mínimo",IF(AND(D240="Tarjeta",H240=""),"Falta el espacio libre de salida",IF(AND(D240="Tarjeta",I240&lt;&gt;"",L240&lt;&gt;"Sí"),"Descarga pendiente",IF(AND(D240="Tarjeta",L240="Sí",N240&lt;&gt;"Sí"),"Verificación pendiente",IF(AND(D240="Tarjeta",N240="Sí",O240&lt;&gt;"Sí"),"Borrado pendiente",IF(Q240&lt;&gt;"","Revisar incidencia","Correcto"))))))))))))))</f>
        <v/>
      </c>
      <c r="T240" s="20" t="n"/>
    </row>
    <row r="241" ht="22" customHeight="1">
      <c r="A241" s="20" t="n"/>
      <c r="B241" s="20" t="n"/>
      <c r="C241" s="20" t="n"/>
      <c r="D241" s="23">
        <f>IF(C241="","",IFERROR(_xlfn.XLOOKUP(C241,tblInventario[ID del soporte],tblInventario[Tipo],""),""))</f>
        <v/>
      </c>
      <c r="E241" s="20" t="n"/>
      <c r="F241" s="22" t="n"/>
      <c r="G241" s="20" t="n"/>
      <c r="H241" s="21" t="n"/>
      <c r="I241" s="22" t="n"/>
      <c r="J241" s="20" t="n"/>
      <c r="K241" s="21" t="n"/>
      <c r="L241" s="20" t="n"/>
      <c r="M241" s="22" t="n"/>
      <c r="N241" s="20" t="n"/>
      <c r="O241" s="20" t="n"/>
      <c r="P241" s="22" t="n"/>
      <c r="Q241" s="26" t="n"/>
      <c r="R241" s="23">
        <f>IF(A241="","",IF(I241="","Abierto",IF(D241="Tarjeta",IF(OR(L241&lt;&gt;"Sí",N241&lt;&gt;"Sí",O241&lt;&gt;"Sí"),"Pendiente","Cerrado"),IF(D241="Batería","Cerrado","Revisar"))))</f>
        <v/>
      </c>
      <c r="S241" s="25">
        <f>IF(A241="","",IF(B241="","Falta la sesión",IF(C241="","Falta el soporte",IF(D241="","Soporte no encontrado",IF(COUNTIFS(tblControl[ID del soporte],C241,tblControl[Estado del control],"Abierto")&gt;1,"Soporte asignado más de una vez",IF(F241="","Falta la fecha de salida",IF(AND(I241&lt;&gt;"",I241&lt;F241),"La devolución es anterior a la salida",IF(AND(D241="Batería",G241=""),"Falta la carga de salida",IF(AND(D241="Batería",G241&lt;Resumen!$C$3),"Carga de salida inferior al mínimo",IF(AND(D241="Tarjeta",H241=""),"Falta el espacio libre de salida",IF(AND(D241="Tarjeta",I241&lt;&gt;"",L241&lt;&gt;"Sí"),"Descarga pendiente",IF(AND(D241="Tarjeta",L241="Sí",N241&lt;&gt;"Sí"),"Verificación pendiente",IF(AND(D241="Tarjeta",N241="Sí",O241&lt;&gt;"Sí"),"Borrado pendiente",IF(Q241&lt;&gt;"","Revisar incidencia","Correcto"))))))))))))))</f>
        <v/>
      </c>
      <c r="T241" s="20" t="n"/>
    </row>
    <row r="242" ht="22" customHeight="1">
      <c r="A242" s="20" t="n"/>
      <c r="B242" s="20" t="n"/>
      <c r="C242" s="20" t="n"/>
      <c r="D242" s="23">
        <f>IF(C242="","",IFERROR(_xlfn.XLOOKUP(C242,tblInventario[ID del soporte],tblInventario[Tipo],""),""))</f>
        <v/>
      </c>
      <c r="E242" s="20" t="n"/>
      <c r="F242" s="22" t="n"/>
      <c r="G242" s="20" t="n"/>
      <c r="H242" s="21" t="n"/>
      <c r="I242" s="22" t="n"/>
      <c r="J242" s="20" t="n"/>
      <c r="K242" s="21" t="n"/>
      <c r="L242" s="20" t="n"/>
      <c r="M242" s="22" t="n"/>
      <c r="N242" s="20" t="n"/>
      <c r="O242" s="20" t="n"/>
      <c r="P242" s="22" t="n"/>
      <c r="Q242" s="26" t="n"/>
      <c r="R242" s="23">
        <f>IF(A242="","",IF(I242="","Abierto",IF(D242="Tarjeta",IF(OR(L242&lt;&gt;"Sí",N242&lt;&gt;"Sí",O242&lt;&gt;"Sí"),"Pendiente","Cerrado"),IF(D242="Batería","Cerrado","Revisar"))))</f>
        <v/>
      </c>
      <c r="S242" s="25">
        <f>IF(A242="","",IF(B242="","Falta la sesión",IF(C242="","Falta el soporte",IF(D242="","Soporte no encontrado",IF(COUNTIFS(tblControl[ID del soporte],C242,tblControl[Estado del control],"Abierto")&gt;1,"Soporte asignado más de una vez",IF(F242="","Falta la fecha de salida",IF(AND(I242&lt;&gt;"",I242&lt;F242),"La devolución es anterior a la salida",IF(AND(D242="Batería",G242=""),"Falta la carga de salida",IF(AND(D242="Batería",G242&lt;Resumen!$C$3),"Carga de salida inferior al mínimo",IF(AND(D242="Tarjeta",H242=""),"Falta el espacio libre de salida",IF(AND(D242="Tarjeta",I242&lt;&gt;"",L242&lt;&gt;"Sí"),"Descarga pendiente",IF(AND(D242="Tarjeta",L242="Sí",N242&lt;&gt;"Sí"),"Verificación pendiente",IF(AND(D242="Tarjeta",N242="Sí",O242&lt;&gt;"Sí"),"Borrado pendiente",IF(Q242&lt;&gt;"","Revisar incidencia","Correcto"))))))))))))))</f>
        <v/>
      </c>
      <c r="T242" s="20" t="n"/>
    </row>
    <row r="243" ht="22" customHeight="1">
      <c r="A243" s="20" t="n"/>
      <c r="B243" s="20" t="n"/>
      <c r="C243" s="20" t="n"/>
      <c r="D243" s="23">
        <f>IF(C243="","",IFERROR(_xlfn.XLOOKUP(C243,tblInventario[ID del soporte],tblInventario[Tipo],""),""))</f>
        <v/>
      </c>
      <c r="E243" s="20" t="n"/>
      <c r="F243" s="22" t="n"/>
      <c r="G243" s="20" t="n"/>
      <c r="H243" s="21" t="n"/>
      <c r="I243" s="22" t="n"/>
      <c r="J243" s="20" t="n"/>
      <c r="K243" s="21" t="n"/>
      <c r="L243" s="20" t="n"/>
      <c r="M243" s="22" t="n"/>
      <c r="N243" s="20" t="n"/>
      <c r="O243" s="20" t="n"/>
      <c r="P243" s="22" t="n"/>
      <c r="Q243" s="26" t="n"/>
      <c r="R243" s="23">
        <f>IF(A243="","",IF(I243="","Abierto",IF(D243="Tarjeta",IF(OR(L243&lt;&gt;"Sí",N243&lt;&gt;"Sí",O243&lt;&gt;"Sí"),"Pendiente","Cerrado"),IF(D243="Batería","Cerrado","Revisar"))))</f>
        <v/>
      </c>
      <c r="S243" s="25">
        <f>IF(A243="","",IF(B243="","Falta la sesión",IF(C243="","Falta el soporte",IF(D243="","Soporte no encontrado",IF(COUNTIFS(tblControl[ID del soporte],C243,tblControl[Estado del control],"Abierto")&gt;1,"Soporte asignado más de una vez",IF(F243="","Falta la fecha de salida",IF(AND(I243&lt;&gt;"",I243&lt;F243),"La devolución es anterior a la salida",IF(AND(D243="Batería",G243=""),"Falta la carga de salida",IF(AND(D243="Batería",G243&lt;Resumen!$C$3),"Carga de salida inferior al mínimo",IF(AND(D243="Tarjeta",H243=""),"Falta el espacio libre de salida",IF(AND(D243="Tarjeta",I243&lt;&gt;"",L243&lt;&gt;"Sí"),"Descarga pendiente",IF(AND(D243="Tarjeta",L243="Sí",N243&lt;&gt;"Sí"),"Verificación pendiente",IF(AND(D243="Tarjeta",N243="Sí",O243&lt;&gt;"Sí"),"Borrado pendiente",IF(Q243&lt;&gt;"","Revisar incidencia","Correcto"))))))))))))))</f>
        <v/>
      </c>
      <c r="T243" s="20" t="n"/>
    </row>
    <row r="244" ht="22" customHeight="1">
      <c r="A244" s="20" t="n"/>
      <c r="B244" s="20" t="n"/>
      <c r="C244" s="20" t="n"/>
      <c r="D244" s="23">
        <f>IF(C244="","",IFERROR(_xlfn.XLOOKUP(C244,tblInventario[ID del soporte],tblInventario[Tipo],""),""))</f>
        <v/>
      </c>
      <c r="E244" s="20" t="n"/>
      <c r="F244" s="22" t="n"/>
      <c r="G244" s="20" t="n"/>
      <c r="H244" s="21" t="n"/>
      <c r="I244" s="22" t="n"/>
      <c r="J244" s="20" t="n"/>
      <c r="K244" s="21" t="n"/>
      <c r="L244" s="20" t="n"/>
      <c r="M244" s="22" t="n"/>
      <c r="N244" s="20" t="n"/>
      <c r="O244" s="20" t="n"/>
      <c r="P244" s="22" t="n"/>
      <c r="Q244" s="26" t="n"/>
      <c r="R244" s="23">
        <f>IF(A244="","",IF(I244="","Abierto",IF(D244="Tarjeta",IF(OR(L244&lt;&gt;"Sí",N244&lt;&gt;"Sí",O244&lt;&gt;"Sí"),"Pendiente","Cerrado"),IF(D244="Batería","Cerrado","Revisar"))))</f>
        <v/>
      </c>
      <c r="S244" s="25">
        <f>IF(A244="","",IF(B244="","Falta la sesión",IF(C244="","Falta el soporte",IF(D244="","Soporte no encontrado",IF(COUNTIFS(tblControl[ID del soporte],C244,tblControl[Estado del control],"Abierto")&gt;1,"Soporte asignado más de una vez",IF(F244="","Falta la fecha de salida",IF(AND(I244&lt;&gt;"",I244&lt;F244),"La devolución es anterior a la salida",IF(AND(D244="Batería",G244=""),"Falta la carga de salida",IF(AND(D244="Batería",G244&lt;Resumen!$C$3),"Carga de salida inferior al mínimo",IF(AND(D244="Tarjeta",H244=""),"Falta el espacio libre de salida",IF(AND(D244="Tarjeta",I244&lt;&gt;"",L244&lt;&gt;"Sí"),"Descarga pendiente",IF(AND(D244="Tarjeta",L244="Sí",N244&lt;&gt;"Sí"),"Verificación pendiente",IF(AND(D244="Tarjeta",N244="Sí",O244&lt;&gt;"Sí"),"Borrado pendiente",IF(Q244&lt;&gt;"","Revisar incidencia","Correcto"))))))))))))))</f>
        <v/>
      </c>
      <c r="T244" s="20" t="n"/>
    </row>
    <row r="245" ht="22" customHeight="1">
      <c r="A245" s="20" t="n"/>
      <c r="B245" s="20" t="n"/>
      <c r="C245" s="20" t="n"/>
      <c r="D245" s="23">
        <f>IF(C245="","",IFERROR(_xlfn.XLOOKUP(C245,tblInventario[ID del soporte],tblInventario[Tipo],""),""))</f>
        <v/>
      </c>
      <c r="E245" s="20" t="n"/>
      <c r="F245" s="22" t="n"/>
      <c r="G245" s="20" t="n"/>
      <c r="H245" s="21" t="n"/>
      <c r="I245" s="22" t="n"/>
      <c r="J245" s="20" t="n"/>
      <c r="K245" s="21" t="n"/>
      <c r="L245" s="20" t="n"/>
      <c r="M245" s="22" t="n"/>
      <c r="N245" s="20" t="n"/>
      <c r="O245" s="20" t="n"/>
      <c r="P245" s="22" t="n"/>
      <c r="Q245" s="26" t="n"/>
      <c r="R245" s="23">
        <f>IF(A245="","",IF(I245="","Abierto",IF(D245="Tarjeta",IF(OR(L245&lt;&gt;"Sí",N245&lt;&gt;"Sí",O245&lt;&gt;"Sí"),"Pendiente","Cerrado"),IF(D245="Batería","Cerrado","Revisar"))))</f>
        <v/>
      </c>
      <c r="S245" s="25">
        <f>IF(A245="","",IF(B245="","Falta la sesión",IF(C245="","Falta el soporte",IF(D245="","Soporte no encontrado",IF(COUNTIFS(tblControl[ID del soporte],C245,tblControl[Estado del control],"Abierto")&gt;1,"Soporte asignado más de una vez",IF(F245="","Falta la fecha de salida",IF(AND(I245&lt;&gt;"",I245&lt;F245),"La devolución es anterior a la salida",IF(AND(D245="Batería",G245=""),"Falta la carga de salida",IF(AND(D245="Batería",G245&lt;Resumen!$C$3),"Carga de salida inferior al mínimo",IF(AND(D245="Tarjeta",H245=""),"Falta el espacio libre de salida",IF(AND(D245="Tarjeta",I245&lt;&gt;"",L245&lt;&gt;"Sí"),"Descarga pendiente",IF(AND(D245="Tarjeta",L245="Sí",N245&lt;&gt;"Sí"),"Verificación pendiente",IF(AND(D245="Tarjeta",N245="Sí",O245&lt;&gt;"Sí"),"Borrado pendiente",IF(Q245&lt;&gt;"","Revisar incidencia","Correcto"))))))))))))))</f>
        <v/>
      </c>
      <c r="T245" s="20" t="n"/>
    </row>
    <row r="246" ht="22" customHeight="1">
      <c r="A246" s="20" t="n"/>
      <c r="B246" s="20" t="n"/>
      <c r="C246" s="20" t="n"/>
      <c r="D246" s="23">
        <f>IF(C246="","",IFERROR(_xlfn.XLOOKUP(C246,tblInventario[ID del soporte],tblInventario[Tipo],""),""))</f>
        <v/>
      </c>
      <c r="E246" s="20" t="n"/>
      <c r="F246" s="22" t="n"/>
      <c r="G246" s="20" t="n"/>
      <c r="H246" s="21" t="n"/>
      <c r="I246" s="22" t="n"/>
      <c r="J246" s="20" t="n"/>
      <c r="K246" s="21" t="n"/>
      <c r="L246" s="20" t="n"/>
      <c r="M246" s="22" t="n"/>
      <c r="N246" s="20" t="n"/>
      <c r="O246" s="20" t="n"/>
      <c r="P246" s="22" t="n"/>
      <c r="Q246" s="26" t="n"/>
      <c r="R246" s="23">
        <f>IF(A246="","",IF(I246="","Abierto",IF(D246="Tarjeta",IF(OR(L246&lt;&gt;"Sí",N246&lt;&gt;"Sí",O246&lt;&gt;"Sí"),"Pendiente","Cerrado"),IF(D246="Batería","Cerrado","Revisar"))))</f>
        <v/>
      </c>
      <c r="S246" s="25">
        <f>IF(A246="","",IF(B246="","Falta la sesión",IF(C246="","Falta el soporte",IF(D246="","Soporte no encontrado",IF(COUNTIFS(tblControl[ID del soporte],C246,tblControl[Estado del control],"Abierto")&gt;1,"Soporte asignado más de una vez",IF(F246="","Falta la fecha de salida",IF(AND(I246&lt;&gt;"",I246&lt;F246),"La devolución es anterior a la salida",IF(AND(D246="Batería",G246=""),"Falta la carga de salida",IF(AND(D246="Batería",G246&lt;Resumen!$C$3),"Carga de salida inferior al mínimo",IF(AND(D246="Tarjeta",H246=""),"Falta el espacio libre de salida",IF(AND(D246="Tarjeta",I246&lt;&gt;"",L246&lt;&gt;"Sí"),"Descarga pendiente",IF(AND(D246="Tarjeta",L246="Sí",N246&lt;&gt;"Sí"),"Verificación pendiente",IF(AND(D246="Tarjeta",N246="Sí",O246&lt;&gt;"Sí"),"Borrado pendiente",IF(Q246&lt;&gt;"","Revisar incidencia","Correcto"))))))))))))))</f>
        <v/>
      </c>
      <c r="T246" s="20" t="n"/>
    </row>
    <row r="247" ht="22" customHeight="1">
      <c r="A247" s="20" t="n"/>
      <c r="B247" s="20" t="n"/>
      <c r="C247" s="20" t="n"/>
      <c r="D247" s="23">
        <f>IF(C247="","",IFERROR(_xlfn.XLOOKUP(C247,tblInventario[ID del soporte],tblInventario[Tipo],""),""))</f>
        <v/>
      </c>
      <c r="E247" s="20" t="n"/>
      <c r="F247" s="22" t="n"/>
      <c r="G247" s="20" t="n"/>
      <c r="H247" s="21" t="n"/>
      <c r="I247" s="22" t="n"/>
      <c r="J247" s="20" t="n"/>
      <c r="K247" s="21" t="n"/>
      <c r="L247" s="20" t="n"/>
      <c r="M247" s="22" t="n"/>
      <c r="N247" s="20" t="n"/>
      <c r="O247" s="20" t="n"/>
      <c r="P247" s="22" t="n"/>
      <c r="Q247" s="26" t="n"/>
      <c r="R247" s="23">
        <f>IF(A247="","",IF(I247="","Abierto",IF(D247="Tarjeta",IF(OR(L247&lt;&gt;"Sí",N247&lt;&gt;"Sí",O247&lt;&gt;"Sí"),"Pendiente","Cerrado"),IF(D247="Batería","Cerrado","Revisar"))))</f>
        <v/>
      </c>
      <c r="S247" s="25">
        <f>IF(A247="","",IF(B247="","Falta la sesión",IF(C247="","Falta el soporte",IF(D247="","Soporte no encontrado",IF(COUNTIFS(tblControl[ID del soporte],C247,tblControl[Estado del control],"Abierto")&gt;1,"Soporte asignado más de una vez",IF(F247="","Falta la fecha de salida",IF(AND(I247&lt;&gt;"",I247&lt;F247),"La devolución es anterior a la salida",IF(AND(D247="Batería",G247=""),"Falta la carga de salida",IF(AND(D247="Batería",G247&lt;Resumen!$C$3),"Carga de salida inferior al mínimo",IF(AND(D247="Tarjeta",H247=""),"Falta el espacio libre de salida",IF(AND(D247="Tarjeta",I247&lt;&gt;"",L247&lt;&gt;"Sí"),"Descarga pendiente",IF(AND(D247="Tarjeta",L247="Sí",N247&lt;&gt;"Sí"),"Verificación pendiente",IF(AND(D247="Tarjeta",N247="Sí",O247&lt;&gt;"Sí"),"Borrado pendiente",IF(Q247&lt;&gt;"","Revisar incidencia","Correcto"))))))))))))))</f>
        <v/>
      </c>
      <c r="T247" s="20" t="n"/>
    </row>
    <row r="248" ht="22" customHeight="1">
      <c r="A248" s="20" t="n"/>
      <c r="B248" s="20" t="n"/>
      <c r="C248" s="20" t="n"/>
      <c r="D248" s="23">
        <f>IF(C248="","",IFERROR(_xlfn.XLOOKUP(C248,tblInventario[ID del soporte],tblInventario[Tipo],""),""))</f>
        <v/>
      </c>
      <c r="E248" s="20" t="n"/>
      <c r="F248" s="22" t="n"/>
      <c r="G248" s="20" t="n"/>
      <c r="H248" s="21" t="n"/>
      <c r="I248" s="22" t="n"/>
      <c r="J248" s="20" t="n"/>
      <c r="K248" s="21" t="n"/>
      <c r="L248" s="20" t="n"/>
      <c r="M248" s="22" t="n"/>
      <c r="N248" s="20" t="n"/>
      <c r="O248" s="20" t="n"/>
      <c r="P248" s="22" t="n"/>
      <c r="Q248" s="26" t="n"/>
      <c r="R248" s="23">
        <f>IF(A248="","",IF(I248="","Abierto",IF(D248="Tarjeta",IF(OR(L248&lt;&gt;"Sí",N248&lt;&gt;"Sí",O248&lt;&gt;"Sí"),"Pendiente","Cerrado"),IF(D248="Batería","Cerrado","Revisar"))))</f>
        <v/>
      </c>
      <c r="S248" s="25">
        <f>IF(A248="","",IF(B248="","Falta la sesión",IF(C248="","Falta el soporte",IF(D248="","Soporte no encontrado",IF(COUNTIFS(tblControl[ID del soporte],C248,tblControl[Estado del control],"Abierto")&gt;1,"Soporte asignado más de una vez",IF(F248="","Falta la fecha de salida",IF(AND(I248&lt;&gt;"",I248&lt;F248),"La devolución es anterior a la salida",IF(AND(D248="Batería",G248=""),"Falta la carga de salida",IF(AND(D248="Batería",G248&lt;Resumen!$C$3),"Carga de salida inferior al mínimo",IF(AND(D248="Tarjeta",H248=""),"Falta el espacio libre de salida",IF(AND(D248="Tarjeta",I248&lt;&gt;"",L248&lt;&gt;"Sí"),"Descarga pendiente",IF(AND(D248="Tarjeta",L248="Sí",N248&lt;&gt;"Sí"),"Verificación pendiente",IF(AND(D248="Tarjeta",N248="Sí",O248&lt;&gt;"Sí"),"Borrado pendiente",IF(Q248&lt;&gt;"","Revisar incidencia","Correcto"))))))))))))))</f>
        <v/>
      </c>
      <c r="T248" s="20" t="n"/>
    </row>
    <row r="249" ht="22" customHeight="1">
      <c r="A249" s="20" t="n"/>
      <c r="B249" s="20" t="n"/>
      <c r="C249" s="20" t="n"/>
      <c r="D249" s="23">
        <f>IF(C249="","",IFERROR(_xlfn.XLOOKUP(C249,tblInventario[ID del soporte],tblInventario[Tipo],""),""))</f>
        <v/>
      </c>
      <c r="E249" s="20" t="n"/>
      <c r="F249" s="22" t="n"/>
      <c r="G249" s="20" t="n"/>
      <c r="H249" s="21" t="n"/>
      <c r="I249" s="22" t="n"/>
      <c r="J249" s="20" t="n"/>
      <c r="K249" s="21" t="n"/>
      <c r="L249" s="20" t="n"/>
      <c r="M249" s="22" t="n"/>
      <c r="N249" s="20" t="n"/>
      <c r="O249" s="20" t="n"/>
      <c r="P249" s="22" t="n"/>
      <c r="Q249" s="26" t="n"/>
      <c r="R249" s="23">
        <f>IF(A249="","",IF(I249="","Abierto",IF(D249="Tarjeta",IF(OR(L249&lt;&gt;"Sí",N249&lt;&gt;"Sí",O249&lt;&gt;"Sí"),"Pendiente","Cerrado"),IF(D249="Batería","Cerrado","Revisar"))))</f>
        <v/>
      </c>
      <c r="S249" s="25">
        <f>IF(A249="","",IF(B249="","Falta la sesión",IF(C249="","Falta el soporte",IF(D249="","Soporte no encontrado",IF(COUNTIFS(tblControl[ID del soporte],C249,tblControl[Estado del control],"Abierto")&gt;1,"Soporte asignado más de una vez",IF(F249="","Falta la fecha de salida",IF(AND(I249&lt;&gt;"",I249&lt;F249),"La devolución es anterior a la salida",IF(AND(D249="Batería",G249=""),"Falta la carga de salida",IF(AND(D249="Batería",G249&lt;Resumen!$C$3),"Carga de salida inferior al mínimo",IF(AND(D249="Tarjeta",H249=""),"Falta el espacio libre de salida",IF(AND(D249="Tarjeta",I249&lt;&gt;"",L249&lt;&gt;"Sí"),"Descarga pendiente",IF(AND(D249="Tarjeta",L249="Sí",N249&lt;&gt;"Sí"),"Verificación pendiente",IF(AND(D249="Tarjeta",N249="Sí",O249&lt;&gt;"Sí"),"Borrado pendiente",IF(Q249&lt;&gt;"","Revisar incidencia","Correcto"))))))))))))))</f>
        <v/>
      </c>
      <c r="T249" s="20" t="n"/>
    </row>
    <row r="250" ht="22" customHeight="1">
      <c r="A250" s="20" t="n"/>
      <c r="B250" s="20" t="n"/>
      <c r="C250" s="20" t="n"/>
      <c r="D250" s="23">
        <f>IF(C250="","",IFERROR(_xlfn.XLOOKUP(C250,tblInventario[ID del soporte],tblInventario[Tipo],""),""))</f>
        <v/>
      </c>
      <c r="E250" s="20" t="n"/>
      <c r="F250" s="22" t="n"/>
      <c r="G250" s="20" t="n"/>
      <c r="H250" s="21" t="n"/>
      <c r="I250" s="22" t="n"/>
      <c r="J250" s="20" t="n"/>
      <c r="K250" s="21" t="n"/>
      <c r="L250" s="20" t="n"/>
      <c r="M250" s="22" t="n"/>
      <c r="N250" s="20" t="n"/>
      <c r="O250" s="20" t="n"/>
      <c r="P250" s="22" t="n"/>
      <c r="Q250" s="26" t="n"/>
      <c r="R250" s="23">
        <f>IF(A250="","",IF(I250="","Abierto",IF(D250="Tarjeta",IF(OR(L250&lt;&gt;"Sí",N250&lt;&gt;"Sí",O250&lt;&gt;"Sí"),"Pendiente","Cerrado"),IF(D250="Batería","Cerrado","Revisar"))))</f>
        <v/>
      </c>
      <c r="S250" s="25">
        <f>IF(A250="","",IF(B250="","Falta la sesión",IF(C250="","Falta el soporte",IF(D250="","Soporte no encontrado",IF(COUNTIFS(tblControl[ID del soporte],C250,tblControl[Estado del control],"Abierto")&gt;1,"Soporte asignado más de una vez",IF(F250="","Falta la fecha de salida",IF(AND(I250&lt;&gt;"",I250&lt;F250),"La devolución es anterior a la salida",IF(AND(D250="Batería",G250=""),"Falta la carga de salida",IF(AND(D250="Batería",G250&lt;Resumen!$C$3),"Carga de salida inferior al mínimo",IF(AND(D250="Tarjeta",H250=""),"Falta el espacio libre de salida",IF(AND(D250="Tarjeta",I250&lt;&gt;"",L250&lt;&gt;"Sí"),"Descarga pendiente",IF(AND(D250="Tarjeta",L250="Sí",N250&lt;&gt;"Sí"),"Verificación pendiente",IF(AND(D250="Tarjeta",N250="Sí",O250&lt;&gt;"Sí"),"Borrado pendiente",IF(Q250&lt;&gt;"","Revisar incidencia","Correcto"))))))))))))))</f>
        <v/>
      </c>
      <c r="T250" s="20" t="n"/>
    </row>
    <row r="251" ht="22" customHeight="1">
      <c r="A251" s="20" t="n"/>
      <c r="B251" s="20" t="n"/>
      <c r="C251" s="20" t="n"/>
      <c r="D251" s="23">
        <f>IF(C251="","",IFERROR(_xlfn.XLOOKUP(C251,tblInventario[ID del soporte],tblInventario[Tipo],""),""))</f>
        <v/>
      </c>
      <c r="E251" s="20" t="n"/>
      <c r="F251" s="22" t="n"/>
      <c r="G251" s="20" t="n"/>
      <c r="H251" s="21" t="n"/>
      <c r="I251" s="22" t="n"/>
      <c r="J251" s="20" t="n"/>
      <c r="K251" s="21" t="n"/>
      <c r="L251" s="20" t="n"/>
      <c r="M251" s="22" t="n"/>
      <c r="N251" s="20" t="n"/>
      <c r="O251" s="20" t="n"/>
      <c r="P251" s="22" t="n"/>
      <c r="Q251" s="26" t="n"/>
      <c r="R251" s="23">
        <f>IF(A251="","",IF(I251="","Abierto",IF(D251="Tarjeta",IF(OR(L251&lt;&gt;"Sí",N251&lt;&gt;"Sí",O251&lt;&gt;"Sí"),"Pendiente","Cerrado"),IF(D251="Batería","Cerrado","Revisar"))))</f>
        <v/>
      </c>
      <c r="S251" s="25">
        <f>IF(A251="","",IF(B251="","Falta la sesión",IF(C251="","Falta el soporte",IF(D251="","Soporte no encontrado",IF(COUNTIFS(tblControl[ID del soporte],C251,tblControl[Estado del control],"Abierto")&gt;1,"Soporte asignado más de una vez",IF(F251="","Falta la fecha de salida",IF(AND(I251&lt;&gt;"",I251&lt;F251),"La devolución es anterior a la salida",IF(AND(D251="Batería",G251=""),"Falta la carga de salida",IF(AND(D251="Batería",G251&lt;Resumen!$C$3),"Carga de salida inferior al mínimo",IF(AND(D251="Tarjeta",H251=""),"Falta el espacio libre de salida",IF(AND(D251="Tarjeta",I251&lt;&gt;"",L251&lt;&gt;"Sí"),"Descarga pendiente",IF(AND(D251="Tarjeta",L251="Sí",N251&lt;&gt;"Sí"),"Verificación pendiente",IF(AND(D251="Tarjeta",N251="Sí",O251&lt;&gt;"Sí"),"Borrado pendiente",IF(Q251&lt;&gt;"","Revisar incidencia","Correcto"))))))))))))))</f>
        <v/>
      </c>
      <c r="T251" s="20" t="n"/>
    </row>
    <row r="252" ht="22" customHeight="1">
      <c r="A252" s="20" t="n"/>
      <c r="B252" s="20" t="n"/>
      <c r="C252" s="20" t="n"/>
      <c r="D252" s="23">
        <f>IF(C252="","",IFERROR(_xlfn.XLOOKUP(C252,tblInventario[ID del soporte],tblInventario[Tipo],""),""))</f>
        <v/>
      </c>
      <c r="E252" s="20" t="n"/>
      <c r="F252" s="22" t="n"/>
      <c r="G252" s="20" t="n"/>
      <c r="H252" s="21" t="n"/>
      <c r="I252" s="22" t="n"/>
      <c r="J252" s="20" t="n"/>
      <c r="K252" s="21" t="n"/>
      <c r="L252" s="20" t="n"/>
      <c r="M252" s="22" t="n"/>
      <c r="N252" s="20" t="n"/>
      <c r="O252" s="20" t="n"/>
      <c r="P252" s="22" t="n"/>
      <c r="Q252" s="26" t="n"/>
      <c r="R252" s="23">
        <f>IF(A252="","",IF(I252="","Abierto",IF(D252="Tarjeta",IF(OR(L252&lt;&gt;"Sí",N252&lt;&gt;"Sí",O252&lt;&gt;"Sí"),"Pendiente","Cerrado"),IF(D252="Batería","Cerrado","Revisar"))))</f>
        <v/>
      </c>
      <c r="S252" s="25">
        <f>IF(A252="","",IF(B252="","Falta la sesión",IF(C252="","Falta el soporte",IF(D252="","Soporte no encontrado",IF(COUNTIFS(tblControl[ID del soporte],C252,tblControl[Estado del control],"Abierto")&gt;1,"Soporte asignado más de una vez",IF(F252="","Falta la fecha de salida",IF(AND(I252&lt;&gt;"",I252&lt;F252),"La devolución es anterior a la salida",IF(AND(D252="Batería",G252=""),"Falta la carga de salida",IF(AND(D252="Batería",G252&lt;Resumen!$C$3),"Carga de salida inferior al mínimo",IF(AND(D252="Tarjeta",H252=""),"Falta el espacio libre de salida",IF(AND(D252="Tarjeta",I252&lt;&gt;"",L252&lt;&gt;"Sí"),"Descarga pendiente",IF(AND(D252="Tarjeta",L252="Sí",N252&lt;&gt;"Sí"),"Verificación pendiente",IF(AND(D252="Tarjeta",N252="Sí",O252&lt;&gt;"Sí"),"Borrado pendiente",IF(Q252&lt;&gt;"","Revisar incidencia","Correcto"))))))))))))))</f>
        <v/>
      </c>
      <c r="T252" s="20" t="n"/>
    </row>
    <row r="253" ht="22" customHeight="1">
      <c r="A253" s="20" t="n"/>
      <c r="B253" s="20" t="n"/>
      <c r="C253" s="20" t="n"/>
      <c r="D253" s="23">
        <f>IF(C253="","",IFERROR(_xlfn.XLOOKUP(C253,tblInventario[ID del soporte],tblInventario[Tipo],""),""))</f>
        <v/>
      </c>
      <c r="E253" s="20" t="n"/>
      <c r="F253" s="22" t="n"/>
      <c r="G253" s="20" t="n"/>
      <c r="H253" s="21" t="n"/>
      <c r="I253" s="22" t="n"/>
      <c r="J253" s="20" t="n"/>
      <c r="K253" s="21" t="n"/>
      <c r="L253" s="20" t="n"/>
      <c r="M253" s="22" t="n"/>
      <c r="N253" s="20" t="n"/>
      <c r="O253" s="20" t="n"/>
      <c r="P253" s="22" t="n"/>
      <c r="Q253" s="26" t="n"/>
      <c r="R253" s="23">
        <f>IF(A253="","",IF(I253="","Abierto",IF(D253="Tarjeta",IF(OR(L253&lt;&gt;"Sí",N253&lt;&gt;"Sí",O253&lt;&gt;"Sí"),"Pendiente","Cerrado"),IF(D253="Batería","Cerrado","Revisar"))))</f>
        <v/>
      </c>
      <c r="S253" s="25">
        <f>IF(A253="","",IF(B253="","Falta la sesión",IF(C253="","Falta el soporte",IF(D253="","Soporte no encontrado",IF(COUNTIFS(tblControl[ID del soporte],C253,tblControl[Estado del control],"Abierto")&gt;1,"Soporte asignado más de una vez",IF(F253="","Falta la fecha de salida",IF(AND(I253&lt;&gt;"",I253&lt;F253),"La devolución es anterior a la salida",IF(AND(D253="Batería",G253=""),"Falta la carga de salida",IF(AND(D253="Batería",G253&lt;Resumen!$C$3),"Carga de salida inferior al mínimo",IF(AND(D253="Tarjeta",H253=""),"Falta el espacio libre de salida",IF(AND(D253="Tarjeta",I253&lt;&gt;"",L253&lt;&gt;"Sí"),"Descarga pendiente",IF(AND(D253="Tarjeta",L253="Sí",N253&lt;&gt;"Sí"),"Verificación pendiente",IF(AND(D253="Tarjeta",N253="Sí",O253&lt;&gt;"Sí"),"Borrado pendiente",IF(Q253&lt;&gt;"","Revisar incidencia","Correcto"))))))))))))))</f>
        <v/>
      </c>
      <c r="T253" s="20" t="n"/>
    </row>
    <row r="254" ht="22" customHeight="1">
      <c r="A254" s="20" t="n"/>
      <c r="B254" s="20" t="n"/>
      <c r="C254" s="20" t="n"/>
      <c r="D254" s="23">
        <f>IF(C254="","",IFERROR(_xlfn.XLOOKUP(C254,tblInventario[ID del soporte],tblInventario[Tipo],""),""))</f>
        <v/>
      </c>
      <c r="E254" s="20" t="n"/>
      <c r="F254" s="22" t="n"/>
      <c r="G254" s="20" t="n"/>
      <c r="H254" s="21" t="n"/>
      <c r="I254" s="22" t="n"/>
      <c r="J254" s="20" t="n"/>
      <c r="K254" s="21" t="n"/>
      <c r="L254" s="20" t="n"/>
      <c r="M254" s="22" t="n"/>
      <c r="N254" s="20" t="n"/>
      <c r="O254" s="20" t="n"/>
      <c r="P254" s="22" t="n"/>
      <c r="Q254" s="26" t="n"/>
      <c r="R254" s="23">
        <f>IF(A254="","",IF(I254="","Abierto",IF(D254="Tarjeta",IF(OR(L254&lt;&gt;"Sí",N254&lt;&gt;"Sí",O254&lt;&gt;"Sí"),"Pendiente","Cerrado"),IF(D254="Batería","Cerrado","Revisar"))))</f>
        <v/>
      </c>
      <c r="S254" s="25">
        <f>IF(A254="","",IF(B254="","Falta la sesión",IF(C254="","Falta el soporte",IF(D254="","Soporte no encontrado",IF(COUNTIFS(tblControl[ID del soporte],C254,tblControl[Estado del control],"Abierto")&gt;1,"Soporte asignado más de una vez",IF(F254="","Falta la fecha de salida",IF(AND(I254&lt;&gt;"",I254&lt;F254),"La devolución es anterior a la salida",IF(AND(D254="Batería",G254=""),"Falta la carga de salida",IF(AND(D254="Batería",G254&lt;Resumen!$C$3),"Carga de salida inferior al mínimo",IF(AND(D254="Tarjeta",H254=""),"Falta el espacio libre de salida",IF(AND(D254="Tarjeta",I254&lt;&gt;"",L254&lt;&gt;"Sí"),"Descarga pendiente",IF(AND(D254="Tarjeta",L254="Sí",N254&lt;&gt;"Sí"),"Verificación pendiente",IF(AND(D254="Tarjeta",N254="Sí",O254&lt;&gt;"Sí"),"Borrado pendiente",IF(Q254&lt;&gt;"","Revisar incidencia","Correcto"))))))))))))))</f>
        <v/>
      </c>
      <c r="T254" s="20" t="n"/>
    </row>
    <row r="255" ht="22" customHeight="1">
      <c r="A255" s="20" t="n"/>
      <c r="B255" s="20" t="n"/>
      <c r="C255" s="20" t="n"/>
      <c r="D255" s="23">
        <f>IF(C255="","",IFERROR(_xlfn.XLOOKUP(C255,tblInventario[ID del soporte],tblInventario[Tipo],""),""))</f>
        <v/>
      </c>
      <c r="E255" s="20" t="n"/>
      <c r="F255" s="22" t="n"/>
      <c r="G255" s="20" t="n"/>
      <c r="H255" s="21" t="n"/>
      <c r="I255" s="22" t="n"/>
      <c r="J255" s="20" t="n"/>
      <c r="K255" s="21" t="n"/>
      <c r="L255" s="20" t="n"/>
      <c r="M255" s="22" t="n"/>
      <c r="N255" s="20" t="n"/>
      <c r="O255" s="20" t="n"/>
      <c r="P255" s="22" t="n"/>
      <c r="Q255" s="26" t="n"/>
      <c r="R255" s="23">
        <f>IF(A255="","",IF(I255="","Abierto",IF(D255="Tarjeta",IF(OR(L255&lt;&gt;"Sí",N255&lt;&gt;"Sí",O255&lt;&gt;"Sí"),"Pendiente","Cerrado"),IF(D255="Batería","Cerrado","Revisar"))))</f>
        <v/>
      </c>
      <c r="S255" s="25">
        <f>IF(A255="","",IF(B255="","Falta la sesión",IF(C255="","Falta el soporte",IF(D255="","Soporte no encontrado",IF(COUNTIFS(tblControl[ID del soporte],C255,tblControl[Estado del control],"Abierto")&gt;1,"Soporte asignado más de una vez",IF(F255="","Falta la fecha de salida",IF(AND(I255&lt;&gt;"",I255&lt;F255),"La devolución es anterior a la salida",IF(AND(D255="Batería",G255=""),"Falta la carga de salida",IF(AND(D255="Batería",G255&lt;Resumen!$C$3),"Carga de salida inferior al mínimo",IF(AND(D255="Tarjeta",H255=""),"Falta el espacio libre de salida",IF(AND(D255="Tarjeta",I255&lt;&gt;"",L255&lt;&gt;"Sí"),"Descarga pendiente",IF(AND(D255="Tarjeta",L255="Sí",N255&lt;&gt;"Sí"),"Verificación pendiente",IF(AND(D255="Tarjeta",N255="Sí",O255&lt;&gt;"Sí"),"Borrado pendiente",IF(Q255&lt;&gt;"","Revisar incidencia","Correcto"))))))))))))))</f>
        <v/>
      </c>
      <c r="T255" s="20" t="n"/>
    </row>
    <row r="256" ht="22" customHeight="1">
      <c r="A256" s="20" t="n"/>
      <c r="B256" s="20" t="n"/>
      <c r="C256" s="20" t="n"/>
      <c r="D256" s="23">
        <f>IF(C256="","",IFERROR(_xlfn.XLOOKUP(C256,tblInventario[ID del soporte],tblInventario[Tipo],""),""))</f>
        <v/>
      </c>
      <c r="E256" s="20" t="n"/>
      <c r="F256" s="22" t="n"/>
      <c r="G256" s="20" t="n"/>
      <c r="H256" s="21" t="n"/>
      <c r="I256" s="22" t="n"/>
      <c r="J256" s="20" t="n"/>
      <c r="K256" s="21" t="n"/>
      <c r="L256" s="20" t="n"/>
      <c r="M256" s="22" t="n"/>
      <c r="N256" s="20" t="n"/>
      <c r="O256" s="20" t="n"/>
      <c r="P256" s="22" t="n"/>
      <c r="Q256" s="26" t="n"/>
      <c r="R256" s="23">
        <f>IF(A256="","",IF(I256="","Abierto",IF(D256="Tarjeta",IF(OR(L256&lt;&gt;"Sí",N256&lt;&gt;"Sí",O256&lt;&gt;"Sí"),"Pendiente","Cerrado"),IF(D256="Batería","Cerrado","Revisar"))))</f>
        <v/>
      </c>
      <c r="S256" s="25">
        <f>IF(A256="","",IF(B256="","Falta la sesión",IF(C256="","Falta el soporte",IF(D256="","Soporte no encontrado",IF(COUNTIFS(tblControl[ID del soporte],C256,tblControl[Estado del control],"Abierto")&gt;1,"Soporte asignado más de una vez",IF(F256="","Falta la fecha de salida",IF(AND(I256&lt;&gt;"",I256&lt;F256),"La devolución es anterior a la salida",IF(AND(D256="Batería",G256=""),"Falta la carga de salida",IF(AND(D256="Batería",G256&lt;Resumen!$C$3),"Carga de salida inferior al mínimo",IF(AND(D256="Tarjeta",H256=""),"Falta el espacio libre de salida",IF(AND(D256="Tarjeta",I256&lt;&gt;"",L256&lt;&gt;"Sí"),"Descarga pendiente",IF(AND(D256="Tarjeta",L256="Sí",N256&lt;&gt;"Sí"),"Verificación pendiente",IF(AND(D256="Tarjeta",N256="Sí",O256&lt;&gt;"Sí"),"Borrado pendiente",IF(Q256&lt;&gt;"","Revisar incidencia","Correcto"))))))))))))))</f>
        <v/>
      </c>
      <c r="T256" s="20" t="n"/>
    </row>
    <row r="257" ht="22" customHeight="1">
      <c r="A257" s="20" t="n"/>
      <c r="B257" s="20" t="n"/>
      <c r="C257" s="20" t="n"/>
      <c r="D257" s="23">
        <f>IF(C257="","",IFERROR(_xlfn.XLOOKUP(C257,tblInventario[ID del soporte],tblInventario[Tipo],""),""))</f>
        <v/>
      </c>
      <c r="E257" s="20" t="n"/>
      <c r="F257" s="22" t="n"/>
      <c r="G257" s="20" t="n"/>
      <c r="H257" s="21" t="n"/>
      <c r="I257" s="22" t="n"/>
      <c r="J257" s="20" t="n"/>
      <c r="K257" s="21" t="n"/>
      <c r="L257" s="20" t="n"/>
      <c r="M257" s="22" t="n"/>
      <c r="N257" s="20" t="n"/>
      <c r="O257" s="20" t="n"/>
      <c r="P257" s="22" t="n"/>
      <c r="Q257" s="26" t="n"/>
      <c r="R257" s="23">
        <f>IF(A257="","",IF(I257="","Abierto",IF(D257="Tarjeta",IF(OR(L257&lt;&gt;"Sí",N257&lt;&gt;"Sí",O257&lt;&gt;"Sí"),"Pendiente","Cerrado"),IF(D257="Batería","Cerrado","Revisar"))))</f>
        <v/>
      </c>
      <c r="S257" s="25">
        <f>IF(A257="","",IF(B257="","Falta la sesión",IF(C257="","Falta el soporte",IF(D257="","Soporte no encontrado",IF(COUNTIFS(tblControl[ID del soporte],C257,tblControl[Estado del control],"Abierto")&gt;1,"Soporte asignado más de una vez",IF(F257="","Falta la fecha de salida",IF(AND(I257&lt;&gt;"",I257&lt;F257),"La devolución es anterior a la salida",IF(AND(D257="Batería",G257=""),"Falta la carga de salida",IF(AND(D257="Batería",G257&lt;Resumen!$C$3),"Carga de salida inferior al mínimo",IF(AND(D257="Tarjeta",H257=""),"Falta el espacio libre de salida",IF(AND(D257="Tarjeta",I257&lt;&gt;"",L257&lt;&gt;"Sí"),"Descarga pendiente",IF(AND(D257="Tarjeta",L257="Sí",N257&lt;&gt;"Sí"),"Verificación pendiente",IF(AND(D257="Tarjeta",N257="Sí",O257&lt;&gt;"Sí"),"Borrado pendiente",IF(Q257&lt;&gt;"","Revisar incidencia","Correcto"))))))))))))))</f>
        <v/>
      </c>
      <c r="T257" s="20" t="n"/>
    </row>
    <row r="258" ht="22" customHeight="1">
      <c r="A258" s="20" t="n"/>
      <c r="B258" s="20" t="n"/>
      <c r="C258" s="20" t="n"/>
      <c r="D258" s="23">
        <f>IF(C258="","",IFERROR(_xlfn.XLOOKUP(C258,tblInventario[ID del soporte],tblInventario[Tipo],""),""))</f>
        <v/>
      </c>
      <c r="E258" s="20" t="n"/>
      <c r="F258" s="22" t="n"/>
      <c r="G258" s="20" t="n"/>
      <c r="H258" s="21" t="n"/>
      <c r="I258" s="22" t="n"/>
      <c r="J258" s="20" t="n"/>
      <c r="K258" s="21" t="n"/>
      <c r="L258" s="20" t="n"/>
      <c r="M258" s="22" t="n"/>
      <c r="N258" s="20" t="n"/>
      <c r="O258" s="20" t="n"/>
      <c r="P258" s="22" t="n"/>
      <c r="Q258" s="26" t="n"/>
      <c r="R258" s="23">
        <f>IF(A258="","",IF(I258="","Abierto",IF(D258="Tarjeta",IF(OR(L258&lt;&gt;"Sí",N258&lt;&gt;"Sí",O258&lt;&gt;"Sí"),"Pendiente","Cerrado"),IF(D258="Batería","Cerrado","Revisar"))))</f>
        <v/>
      </c>
      <c r="S258" s="25">
        <f>IF(A258="","",IF(B258="","Falta la sesión",IF(C258="","Falta el soporte",IF(D258="","Soporte no encontrado",IF(COUNTIFS(tblControl[ID del soporte],C258,tblControl[Estado del control],"Abierto")&gt;1,"Soporte asignado más de una vez",IF(F258="","Falta la fecha de salida",IF(AND(I258&lt;&gt;"",I258&lt;F258),"La devolución es anterior a la salida",IF(AND(D258="Batería",G258=""),"Falta la carga de salida",IF(AND(D258="Batería",G258&lt;Resumen!$C$3),"Carga de salida inferior al mínimo",IF(AND(D258="Tarjeta",H258=""),"Falta el espacio libre de salida",IF(AND(D258="Tarjeta",I258&lt;&gt;"",L258&lt;&gt;"Sí"),"Descarga pendiente",IF(AND(D258="Tarjeta",L258="Sí",N258&lt;&gt;"Sí"),"Verificación pendiente",IF(AND(D258="Tarjeta",N258="Sí",O258&lt;&gt;"Sí"),"Borrado pendiente",IF(Q258&lt;&gt;"","Revisar incidencia","Correcto"))))))))))))))</f>
        <v/>
      </c>
      <c r="T258" s="20" t="n"/>
    </row>
    <row r="259" ht="22" customHeight="1">
      <c r="A259" s="20" t="n"/>
      <c r="B259" s="20" t="n"/>
      <c r="C259" s="20" t="n"/>
      <c r="D259" s="23">
        <f>IF(C259="","",IFERROR(_xlfn.XLOOKUP(C259,tblInventario[ID del soporte],tblInventario[Tipo],""),""))</f>
        <v/>
      </c>
      <c r="E259" s="20" t="n"/>
      <c r="F259" s="22" t="n"/>
      <c r="G259" s="20" t="n"/>
      <c r="H259" s="21" t="n"/>
      <c r="I259" s="22" t="n"/>
      <c r="J259" s="20" t="n"/>
      <c r="K259" s="21" t="n"/>
      <c r="L259" s="20" t="n"/>
      <c r="M259" s="22" t="n"/>
      <c r="N259" s="20" t="n"/>
      <c r="O259" s="20" t="n"/>
      <c r="P259" s="22" t="n"/>
      <c r="Q259" s="26" t="n"/>
      <c r="R259" s="23">
        <f>IF(A259="","",IF(I259="","Abierto",IF(D259="Tarjeta",IF(OR(L259&lt;&gt;"Sí",N259&lt;&gt;"Sí",O259&lt;&gt;"Sí"),"Pendiente","Cerrado"),IF(D259="Batería","Cerrado","Revisar"))))</f>
        <v/>
      </c>
      <c r="S259" s="25">
        <f>IF(A259="","",IF(B259="","Falta la sesión",IF(C259="","Falta el soporte",IF(D259="","Soporte no encontrado",IF(COUNTIFS(tblControl[ID del soporte],C259,tblControl[Estado del control],"Abierto")&gt;1,"Soporte asignado más de una vez",IF(F259="","Falta la fecha de salida",IF(AND(I259&lt;&gt;"",I259&lt;F259),"La devolución es anterior a la salida",IF(AND(D259="Batería",G259=""),"Falta la carga de salida",IF(AND(D259="Batería",G259&lt;Resumen!$C$3),"Carga de salida inferior al mínimo",IF(AND(D259="Tarjeta",H259=""),"Falta el espacio libre de salida",IF(AND(D259="Tarjeta",I259&lt;&gt;"",L259&lt;&gt;"Sí"),"Descarga pendiente",IF(AND(D259="Tarjeta",L259="Sí",N259&lt;&gt;"Sí"),"Verificación pendiente",IF(AND(D259="Tarjeta",N259="Sí",O259&lt;&gt;"Sí"),"Borrado pendiente",IF(Q259&lt;&gt;"","Revisar incidencia","Correcto"))))))))))))))</f>
        <v/>
      </c>
      <c r="T259" s="20" t="n"/>
    </row>
    <row r="260" ht="22" customHeight="1">
      <c r="A260" s="20" t="n"/>
      <c r="B260" s="20" t="n"/>
      <c r="C260" s="20" t="n"/>
      <c r="D260" s="23">
        <f>IF(C260="","",IFERROR(_xlfn.XLOOKUP(C260,tblInventario[ID del soporte],tblInventario[Tipo],""),""))</f>
        <v/>
      </c>
      <c r="E260" s="20" t="n"/>
      <c r="F260" s="22" t="n"/>
      <c r="G260" s="20" t="n"/>
      <c r="H260" s="21" t="n"/>
      <c r="I260" s="22" t="n"/>
      <c r="J260" s="20" t="n"/>
      <c r="K260" s="21" t="n"/>
      <c r="L260" s="20" t="n"/>
      <c r="M260" s="22" t="n"/>
      <c r="N260" s="20" t="n"/>
      <c r="O260" s="20" t="n"/>
      <c r="P260" s="22" t="n"/>
      <c r="Q260" s="26" t="n"/>
      <c r="R260" s="23">
        <f>IF(A260="","",IF(I260="","Abierto",IF(D260="Tarjeta",IF(OR(L260&lt;&gt;"Sí",N260&lt;&gt;"Sí",O260&lt;&gt;"Sí"),"Pendiente","Cerrado"),IF(D260="Batería","Cerrado","Revisar"))))</f>
        <v/>
      </c>
      <c r="S260" s="25">
        <f>IF(A260="","",IF(B260="","Falta la sesión",IF(C260="","Falta el soporte",IF(D260="","Soporte no encontrado",IF(COUNTIFS(tblControl[ID del soporte],C260,tblControl[Estado del control],"Abierto")&gt;1,"Soporte asignado más de una vez",IF(F260="","Falta la fecha de salida",IF(AND(I260&lt;&gt;"",I260&lt;F260),"La devolución es anterior a la salida",IF(AND(D260="Batería",G260=""),"Falta la carga de salida",IF(AND(D260="Batería",G260&lt;Resumen!$C$3),"Carga de salida inferior al mínimo",IF(AND(D260="Tarjeta",H260=""),"Falta el espacio libre de salida",IF(AND(D260="Tarjeta",I260&lt;&gt;"",L260&lt;&gt;"Sí"),"Descarga pendiente",IF(AND(D260="Tarjeta",L260="Sí",N260&lt;&gt;"Sí"),"Verificación pendiente",IF(AND(D260="Tarjeta",N260="Sí",O260&lt;&gt;"Sí"),"Borrado pendiente",IF(Q260&lt;&gt;"","Revisar incidencia","Correcto"))))))))))))))</f>
        <v/>
      </c>
      <c r="T260" s="20" t="n"/>
    </row>
    <row r="261" ht="22" customHeight="1">
      <c r="A261" s="20" t="n"/>
      <c r="B261" s="20" t="n"/>
      <c r="C261" s="20" t="n"/>
      <c r="D261" s="23">
        <f>IF(C261="","",IFERROR(_xlfn.XLOOKUP(C261,tblInventario[ID del soporte],tblInventario[Tipo],""),""))</f>
        <v/>
      </c>
      <c r="E261" s="20" t="n"/>
      <c r="F261" s="22" t="n"/>
      <c r="G261" s="20" t="n"/>
      <c r="H261" s="21" t="n"/>
      <c r="I261" s="22" t="n"/>
      <c r="J261" s="20" t="n"/>
      <c r="K261" s="21" t="n"/>
      <c r="L261" s="20" t="n"/>
      <c r="M261" s="22" t="n"/>
      <c r="N261" s="20" t="n"/>
      <c r="O261" s="20" t="n"/>
      <c r="P261" s="22" t="n"/>
      <c r="Q261" s="26" t="n"/>
      <c r="R261" s="23">
        <f>IF(A261="","",IF(I261="","Abierto",IF(D261="Tarjeta",IF(OR(L261&lt;&gt;"Sí",N261&lt;&gt;"Sí",O261&lt;&gt;"Sí"),"Pendiente","Cerrado"),IF(D261="Batería","Cerrado","Revisar"))))</f>
        <v/>
      </c>
      <c r="S261" s="25">
        <f>IF(A261="","",IF(B261="","Falta la sesión",IF(C261="","Falta el soporte",IF(D261="","Soporte no encontrado",IF(COUNTIFS(tblControl[ID del soporte],C261,tblControl[Estado del control],"Abierto")&gt;1,"Soporte asignado más de una vez",IF(F261="","Falta la fecha de salida",IF(AND(I261&lt;&gt;"",I261&lt;F261),"La devolución es anterior a la salida",IF(AND(D261="Batería",G261=""),"Falta la carga de salida",IF(AND(D261="Batería",G261&lt;Resumen!$C$3),"Carga de salida inferior al mínimo",IF(AND(D261="Tarjeta",H261=""),"Falta el espacio libre de salida",IF(AND(D261="Tarjeta",I261&lt;&gt;"",L261&lt;&gt;"Sí"),"Descarga pendiente",IF(AND(D261="Tarjeta",L261="Sí",N261&lt;&gt;"Sí"),"Verificación pendiente",IF(AND(D261="Tarjeta",N261="Sí",O261&lt;&gt;"Sí"),"Borrado pendiente",IF(Q261&lt;&gt;"","Revisar incidencia","Correcto"))))))))))))))</f>
        <v/>
      </c>
      <c r="T261" s="20" t="n"/>
    </row>
    <row r="262" ht="22" customHeight="1">
      <c r="A262" s="20" t="n"/>
      <c r="B262" s="20" t="n"/>
      <c r="C262" s="20" t="n"/>
      <c r="D262" s="23">
        <f>IF(C262="","",IFERROR(_xlfn.XLOOKUP(C262,tblInventario[ID del soporte],tblInventario[Tipo],""),""))</f>
        <v/>
      </c>
      <c r="E262" s="20" t="n"/>
      <c r="F262" s="22" t="n"/>
      <c r="G262" s="20" t="n"/>
      <c r="H262" s="21" t="n"/>
      <c r="I262" s="22" t="n"/>
      <c r="J262" s="20" t="n"/>
      <c r="K262" s="21" t="n"/>
      <c r="L262" s="20" t="n"/>
      <c r="M262" s="22" t="n"/>
      <c r="N262" s="20" t="n"/>
      <c r="O262" s="20" t="n"/>
      <c r="P262" s="22" t="n"/>
      <c r="Q262" s="26" t="n"/>
      <c r="R262" s="23">
        <f>IF(A262="","",IF(I262="","Abierto",IF(D262="Tarjeta",IF(OR(L262&lt;&gt;"Sí",N262&lt;&gt;"Sí",O262&lt;&gt;"Sí"),"Pendiente","Cerrado"),IF(D262="Batería","Cerrado","Revisar"))))</f>
        <v/>
      </c>
      <c r="S262" s="25">
        <f>IF(A262="","",IF(B262="","Falta la sesión",IF(C262="","Falta el soporte",IF(D262="","Soporte no encontrado",IF(COUNTIFS(tblControl[ID del soporte],C262,tblControl[Estado del control],"Abierto")&gt;1,"Soporte asignado más de una vez",IF(F262="","Falta la fecha de salida",IF(AND(I262&lt;&gt;"",I262&lt;F262),"La devolución es anterior a la salida",IF(AND(D262="Batería",G262=""),"Falta la carga de salida",IF(AND(D262="Batería",G262&lt;Resumen!$C$3),"Carga de salida inferior al mínimo",IF(AND(D262="Tarjeta",H262=""),"Falta el espacio libre de salida",IF(AND(D262="Tarjeta",I262&lt;&gt;"",L262&lt;&gt;"Sí"),"Descarga pendiente",IF(AND(D262="Tarjeta",L262="Sí",N262&lt;&gt;"Sí"),"Verificación pendiente",IF(AND(D262="Tarjeta",N262="Sí",O262&lt;&gt;"Sí"),"Borrado pendiente",IF(Q262&lt;&gt;"","Revisar incidencia","Correcto"))))))))))))))</f>
        <v/>
      </c>
      <c r="T262" s="20" t="n"/>
    </row>
    <row r="263" ht="22" customHeight="1">
      <c r="A263" s="20" t="n"/>
      <c r="B263" s="20" t="n"/>
      <c r="C263" s="20" t="n"/>
      <c r="D263" s="23">
        <f>IF(C263="","",IFERROR(_xlfn.XLOOKUP(C263,tblInventario[ID del soporte],tblInventario[Tipo],""),""))</f>
        <v/>
      </c>
      <c r="E263" s="20" t="n"/>
      <c r="F263" s="22" t="n"/>
      <c r="G263" s="20" t="n"/>
      <c r="H263" s="21" t="n"/>
      <c r="I263" s="22" t="n"/>
      <c r="J263" s="20" t="n"/>
      <c r="K263" s="21" t="n"/>
      <c r="L263" s="20" t="n"/>
      <c r="M263" s="22" t="n"/>
      <c r="N263" s="20" t="n"/>
      <c r="O263" s="20" t="n"/>
      <c r="P263" s="22" t="n"/>
      <c r="Q263" s="26" t="n"/>
      <c r="R263" s="23">
        <f>IF(A263="","",IF(I263="","Abierto",IF(D263="Tarjeta",IF(OR(L263&lt;&gt;"Sí",N263&lt;&gt;"Sí",O263&lt;&gt;"Sí"),"Pendiente","Cerrado"),IF(D263="Batería","Cerrado","Revisar"))))</f>
        <v/>
      </c>
      <c r="S263" s="25">
        <f>IF(A263="","",IF(B263="","Falta la sesión",IF(C263="","Falta el soporte",IF(D263="","Soporte no encontrado",IF(COUNTIFS(tblControl[ID del soporte],C263,tblControl[Estado del control],"Abierto")&gt;1,"Soporte asignado más de una vez",IF(F263="","Falta la fecha de salida",IF(AND(I263&lt;&gt;"",I263&lt;F263),"La devolución es anterior a la salida",IF(AND(D263="Batería",G263=""),"Falta la carga de salida",IF(AND(D263="Batería",G263&lt;Resumen!$C$3),"Carga de salida inferior al mínimo",IF(AND(D263="Tarjeta",H263=""),"Falta el espacio libre de salida",IF(AND(D263="Tarjeta",I263&lt;&gt;"",L263&lt;&gt;"Sí"),"Descarga pendiente",IF(AND(D263="Tarjeta",L263="Sí",N263&lt;&gt;"Sí"),"Verificación pendiente",IF(AND(D263="Tarjeta",N263="Sí",O263&lt;&gt;"Sí"),"Borrado pendiente",IF(Q263&lt;&gt;"","Revisar incidencia","Correcto"))))))))))))))</f>
        <v/>
      </c>
      <c r="T263" s="20" t="n"/>
    </row>
    <row r="264" ht="22" customHeight="1">
      <c r="A264" s="20" t="n"/>
      <c r="B264" s="20" t="n"/>
      <c r="C264" s="20" t="n"/>
      <c r="D264" s="23">
        <f>IF(C264="","",IFERROR(_xlfn.XLOOKUP(C264,tblInventario[ID del soporte],tblInventario[Tipo],""),""))</f>
        <v/>
      </c>
      <c r="E264" s="20" t="n"/>
      <c r="F264" s="22" t="n"/>
      <c r="G264" s="20" t="n"/>
      <c r="H264" s="21" t="n"/>
      <c r="I264" s="22" t="n"/>
      <c r="J264" s="20" t="n"/>
      <c r="K264" s="21" t="n"/>
      <c r="L264" s="20" t="n"/>
      <c r="M264" s="22" t="n"/>
      <c r="N264" s="20" t="n"/>
      <c r="O264" s="20" t="n"/>
      <c r="P264" s="22" t="n"/>
      <c r="Q264" s="26" t="n"/>
      <c r="R264" s="23">
        <f>IF(A264="","",IF(I264="","Abierto",IF(D264="Tarjeta",IF(OR(L264&lt;&gt;"Sí",N264&lt;&gt;"Sí",O264&lt;&gt;"Sí"),"Pendiente","Cerrado"),IF(D264="Batería","Cerrado","Revisar"))))</f>
        <v/>
      </c>
      <c r="S264" s="25">
        <f>IF(A264="","",IF(B264="","Falta la sesión",IF(C264="","Falta el soporte",IF(D264="","Soporte no encontrado",IF(COUNTIFS(tblControl[ID del soporte],C264,tblControl[Estado del control],"Abierto")&gt;1,"Soporte asignado más de una vez",IF(F264="","Falta la fecha de salida",IF(AND(I264&lt;&gt;"",I264&lt;F264),"La devolución es anterior a la salida",IF(AND(D264="Batería",G264=""),"Falta la carga de salida",IF(AND(D264="Batería",G264&lt;Resumen!$C$3),"Carga de salida inferior al mínimo",IF(AND(D264="Tarjeta",H264=""),"Falta el espacio libre de salida",IF(AND(D264="Tarjeta",I264&lt;&gt;"",L264&lt;&gt;"Sí"),"Descarga pendiente",IF(AND(D264="Tarjeta",L264="Sí",N264&lt;&gt;"Sí"),"Verificación pendiente",IF(AND(D264="Tarjeta",N264="Sí",O264&lt;&gt;"Sí"),"Borrado pendiente",IF(Q264&lt;&gt;"","Revisar incidencia","Correcto"))))))))))))))</f>
        <v/>
      </c>
      <c r="T264" s="20" t="n"/>
    </row>
    <row r="265" ht="22" customHeight="1">
      <c r="A265" s="20" t="n"/>
      <c r="B265" s="20" t="n"/>
      <c r="C265" s="20" t="n"/>
      <c r="D265" s="23">
        <f>IF(C265="","",IFERROR(_xlfn.XLOOKUP(C265,tblInventario[ID del soporte],tblInventario[Tipo],""),""))</f>
        <v/>
      </c>
      <c r="E265" s="20" t="n"/>
      <c r="F265" s="22" t="n"/>
      <c r="G265" s="20" t="n"/>
      <c r="H265" s="21" t="n"/>
      <c r="I265" s="22" t="n"/>
      <c r="J265" s="20" t="n"/>
      <c r="K265" s="21" t="n"/>
      <c r="L265" s="20" t="n"/>
      <c r="M265" s="22" t="n"/>
      <c r="N265" s="20" t="n"/>
      <c r="O265" s="20" t="n"/>
      <c r="P265" s="22" t="n"/>
      <c r="Q265" s="26" t="n"/>
      <c r="R265" s="23">
        <f>IF(A265="","",IF(I265="","Abierto",IF(D265="Tarjeta",IF(OR(L265&lt;&gt;"Sí",N265&lt;&gt;"Sí",O265&lt;&gt;"Sí"),"Pendiente","Cerrado"),IF(D265="Batería","Cerrado","Revisar"))))</f>
        <v/>
      </c>
      <c r="S265" s="25">
        <f>IF(A265="","",IF(B265="","Falta la sesión",IF(C265="","Falta el soporte",IF(D265="","Soporte no encontrado",IF(COUNTIFS(tblControl[ID del soporte],C265,tblControl[Estado del control],"Abierto")&gt;1,"Soporte asignado más de una vez",IF(F265="","Falta la fecha de salida",IF(AND(I265&lt;&gt;"",I265&lt;F265),"La devolución es anterior a la salida",IF(AND(D265="Batería",G265=""),"Falta la carga de salida",IF(AND(D265="Batería",G265&lt;Resumen!$C$3),"Carga de salida inferior al mínimo",IF(AND(D265="Tarjeta",H265=""),"Falta el espacio libre de salida",IF(AND(D265="Tarjeta",I265&lt;&gt;"",L265&lt;&gt;"Sí"),"Descarga pendiente",IF(AND(D265="Tarjeta",L265="Sí",N265&lt;&gt;"Sí"),"Verificación pendiente",IF(AND(D265="Tarjeta",N265="Sí",O265&lt;&gt;"Sí"),"Borrado pendiente",IF(Q265&lt;&gt;"","Revisar incidencia","Correcto"))))))))))))))</f>
        <v/>
      </c>
      <c r="T265" s="20" t="n"/>
    </row>
    <row r="266" ht="22" customHeight="1">
      <c r="A266" s="20" t="n"/>
      <c r="B266" s="20" t="n"/>
      <c r="C266" s="20" t="n"/>
      <c r="D266" s="23">
        <f>IF(C266="","",IFERROR(_xlfn.XLOOKUP(C266,tblInventario[ID del soporte],tblInventario[Tipo],""),""))</f>
        <v/>
      </c>
      <c r="E266" s="20" t="n"/>
      <c r="F266" s="22" t="n"/>
      <c r="G266" s="20" t="n"/>
      <c r="H266" s="21" t="n"/>
      <c r="I266" s="22" t="n"/>
      <c r="J266" s="20" t="n"/>
      <c r="K266" s="21" t="n"/>
      <c r="L266" s="20" t="n"/>
      <c r="M266" s="22" t="n"/>
      <c r="N266" s="20" t="n"/>
      <c r="O266" s="20" t="n"/>
      <c r="P266" s="22" t="n"/>
      <c r="Q266" s="26" t="n"/>
      <c r="R266" s="23">
        <f>IF(A266="","",IF(I266="","Abierto",IF(D266="Tarjeta",IF(OR(L266&lt;&gt;"Sí",N266&lt;&gt;"Sí",O266&lt;&gt;"Sí"),"Pendiente","Cerrado"),IF(D266="Batería","Cerrado","Revisar"))))</f>
        <v/>
      </c>
      <c r="S266" s="25">
        <f>IF(A266="","",IF(B266="","Falta la sesión",IF(C266="","Falta el soporte",IF(D266="","Soporte no encontrado",IF(COUNTIFS(tblControl[ID del soporte],C266,tblControl[Estado del control],"Abierto")&gt;1,"Soporte asignado más de una vez",IF(F266="","Falta la fecha de salida",IF(AND(I266&lt;&gt;"",I266&lt;F266),"La devolución es anterior a la salida",IF(AND(D266="Batería",G266=""),"Falta la carga de salida",IF(AND(D266="Batería",G266&lt;Resumen!$C$3),"Carga de salida inferior al mínimo",IF(AND(D266="Tarjeta",H266=""),"Falta el espacio libre de salida",IF(AND(D266="Tarjeta",I266&lt;&gt;"",L266&lt;&gt;"Sí"),"Descarga pendiente",IF(AND(D266="Tarjeta",L266="Sí",N266&lt;&gt;"Sí"),"Verificación pendiente",IF(AND(D266="Tarjeta",N266="Sí",O266&lt;&gt;"Sí"),"Borrado pendiente",IF(Q266&lt;&gt;"","Revisar incidencia","Correcto"))))))))))))))</f>
        <v/>
      </c>
      <c r="T266" s="20" t="n"/>
    </row>
    <row r="267" ht="22" customHeight="1">
      <c r="A267" s="20" t="n"/>
      <c r="B267" s="20" t="n"/>
      <c r="C267" s="20" t="n"/>
      <c r="D267" s="23">
        <f>IF(C267="","",IFERROR(_xlfn.XLOOKUP(C267,tblInventario[ID del soporte],tblInventario[Tipo],""),""))</f>
        <v/>
      </c>
      <c r="E267" s="20" t="n"/>
      <c r="F267" s="22" t="n"/>
      <c r="G267" s="20" t="n"/>
      <c r="H267" s="21" t="n"/>
      <c r="I267" s="22" t="n"/>
      <c r="J267" s="20" t="n"/>
      <c r="K267" s="21" t="n"/>
      <c r="L267" s="20" t="n"/>
      <c r="M267" s="22" t="n"/>
      <c r="N267" s="20" t="n"/>
      <c r="O267" s="20" t="n"/>
      <c r="P267" s="22" t="n"/>
      <c r="Q267" s="26" t="n"/>
      <c r="R267" s="23">
        <f>IF(A267="","",IF(I267="","Abierto",IF(D267="Tarjeta",IF(OR(L267&lt;&gt;"Sí",N267&lt;&gt;"Sí",O267&lt;&gt;"Sí"),"Pendiente","Cerrado"),IF(D267="Batería","Cerrado","Revisar"))))</f>
        <v/>
      </c>
      <c r="S267" s="25">
        <f>IF(A267="","",IF(B267="","Falta la sesión",IF(C267="","Falta el soporte",IF(D267="","Soporte no encontrado",IF(COUNTIFS(tblControl[ID del soporte],C267,tblControl[Estado del control],"Abierto")&gt;1,"Soporte asignado más de una vez",IF(F267="","Falta la fecha de salida",IF(AND(I267&lt;&gt;"",I267&lt;F267),"La devolución es anterior a la salida",IF(AND(D267="Batería",G267=""),"Falta la carga de salida",IF(AND(D267="Batería",G267&lt;Resumen!$C$3),"Carga de salida inferior al mínimo",IF(AND(D267="Tarjeta",H267=""),"Falta el espacio libre de salida",IF(AND(D267="Tarjeta",I267&lt;&gt;"",L267&lt;&gt;"Sí"),"Descarga pendiente",IF(AND(D267="Tarjeta",L267="Sí",N267&lt;&gt;"Sí"),"Verificación pendiente",IF(AND(D267="Tarjeta",N267="Sí",O267&lt;&gt;"Sí"),"Borrado pendiente",IF(Q267&lt;&gt;"","Revisar incidencia","Correcto"))))))))))))))</f>
        <v/>
      </c>
      <c r="T267" s="20" t="n"/>
    </row>
    <row r="268" ht="22" customHeight="1">
      <c r="A268" s="20" t="n"/>
      <c r="B268" s="20" t="n"/>
      <c r="C268" s="20" t="n"/>
      <c r="D268" s="23">
        <f>IF(C268="","",IFERROR(_xlfn.XLOOKUP(C268,tblInventario[ID del soporte],tblInventario[Tipo],""),""))</f>
        <v/>
      </c>
      <c r="E268" s="20" t="n"/>
      <c r="F268" s="22" t="n"/>
      <c r="G268" s="20" t="n"/>
      <c r="H268" s="21" t="n"/>
      <c r="I268" s="22" t="n"/>
      <c r="J268" s="20" t="n"/>
      <c r="K268" s="21" t="n"/>
      <c r="L268" s="20" t="n"/>
      <c r="M268" s="22" t="n"/>
      <c r="N268" s="20" t="n"/>
      <c r="O268" s="20" t="n"/>
      <c r="P268" s="22" t="n"/>
      <c r="Q268" s="26" t="n"/>
      <c r="R268" s="23">
        <f>IF(A268="","",IF(I268="","Abierto",IF(D268="Tarjeta",IF(OR(L268&lt;&gt;"Sí",N268&lt;&gt;"Sí",O268&lt;&gt;"Sí"),"Pendiente","Cerrado"),IF(D268="Batería","Cerrado","Revisar"))))</f>
        <v/>
      </c>
      <c r="S268" s="25">
        <f>IF(A268="","",IF(B268="","Falta la sesión",IF(C268="","Falta el soporte",IF(D268="","Soporte no encontrado",IF(COUNTIFS(tblControl[ID del soporte],C268,tblControl[Estado del control],"Abierto")&gt;1,"Soporte asignado más de una vez",IF(F268="","Falta la fecha de salida",IF(AND(I268&lt;&gt;"",I268&lt;F268),"La devolución es anterior a la salida",IF(AND(D268="Batería",G268=""),"Falta la carga de salida",IF(AND(D268="Batería",G268&lt;Resumen!$C$3),"Carga de salida inferior al mínimo",IF(AND(D268="Tarjeta",H268=""),"Falta el espacio libre de salida",IF(AND(D268="Tarjeta",I268&lt;&gt;"",L268&lt;&gt;"Sí"),"Descarga pendiente",IF(AND(D268="Tarjeta",L268="Sí",N268&lt;&gt;"Sí"),"Verificación pendiente",IF(AND(D268="Tarjeta",N268="Sí",O268&lt;&gt;"Sí"),"Borrado pendiente",IF(Q268&lt;&gt;"","Revisar incidencia","Correcto"))))))))))))))</f>
        <v/>
      </c>
      <c r="T268" s="20" t="n"/>
    </row>
    <row r="269" ht="22" customHeight="1">
      <c r="A269" s="20" t="n"/>
      <c r="B269" s="20" t="n"/>
      <c r="C269" s="20" t="n"/>
      <c r="D269" s="23">
        <f>IF(C269="","",IFERROR(_xlfn.XLOOKUP(C269,tblInventario[ID del soporte],tblInventario[Tipo],""),""))</f>
        <v/>
      </c>
      <c r="E269" s="20" t="n"/>
      <c r="F269" s="22" t="n"/>
      <c r="G269" s="20" t="n"/>
      <c r="H269" s="21" t="n"/>
      <c r="I269" s="22" t="n"/>
      <c r="J269" s="20" t="n"/>
      <c r="K269" s="21" t="n"/>
      <c r="L269" s="20" t="n"/>
      <c r="M269" s="22" t="n"/>
      <c r="N269" s="20" t="n"/>
      <c r="O269" s="20" t="n"/>
      <c r="P269" s="22" t="n"/>
      <c r="Q269" s="26" t="n"/>
      <c r="R269" s="23">
        <f>IF(A269="","",IF(I269="","Abierto",IF(D269="Tarjeta",IF(OR(L269&lt;&gt;"Sí",N269&lt;&gt;"Sí",O269&lt;&gt;"Sí"),"Pendiente","Cerrado"),IF(D269="Batería","Cerrado","Revisar"))))</f>
        <v/>
      </c>
      <c r="S269" s="25">
        <f>IF(A269="","",IF(B269="","Falta la sesión",IF(C269="","Falta el soporte",IF(D269="","Soporte no encontrado",IF(COUNTIFS(tblControl[ID del soporte],C269,tblControl[Estado del control],"Abierto")&gt;1,"Soporte asignado más de una vez",IF(F269="","Falta la fecha de salida",IF(AND(I269&lt;&gt;"",I269&lt;F269),"La devolución es anterior a la salida",IF(AND(D269="Batería",G269=""),"Falta la carga de salida",IF(AND(D269="Batería",G269&lt;Resumen!$C$3),"Carga de salida inferior al mínimo",IF(AND(D269="Tarjeta",H269=""),"Falta el espacio libre de salida",IF(AND(D269="Tarjeta",I269&lt;&gt;"",L269&lt;&gt;"Sí"),"Descarga pendiente",IF(AND(D269="Tarjeta",L269="Sí",N269&lt;&gt;"Sí"),"Verificación pendiente",IF(AND(D269="Tarjeta",N269="Sí",O269&lt;&gt;"Sí"),"Borrado pendiente",IF(Q269&lt;&gt;"","Revisar incidencia","Correcto"))))))))))))))</f>
        <v/>
      </c>
      <c r="T269" s="20" t="n"/>
    </row>
    <row r="270" ht="22" customHeight="1">
      <c r="A270" s="20" t="n"/>
      <c r="B270" s="20" t="n"/>
      <c r="C270" s="20" t="n"/>
      <c r="D270" s="23">
        <f>IF(C270="","",IFERROR(_xlfn.XLOOKUP(C270,tblInventario[ID del soporte],tblInventario[Tipo],""),""))</f>
        <v/>
      </c>
      <c r="E270" s="20" t="n"/>
      <c r="F270" s="22" t="n"/>
      <c r="G270" s="20" t="n"/>
      <c r="H270" s="21" t="n"/>
      <c r="I270" s="22" t="n"/>
      <c r="J270" s="20" t="n"/>
      <c r="K270" s="21" t="n"/>
      <c r="L270" s="20" t="n"/>
      <c r="M270" s="22" t="n"/>
      <c r="N270" s="20" t="n"/>
      <c r="O270" s="20" t="n"/>
      <c r="P270" s="22" t="n"/>
      <c r="Q270" s="26" t="n"/>
      <c r="R270" s="23">
        <f>IF(A270="","",IF(I270="","Abierto",IF(D270="Tarjeta",IF(OR(L270&lt;&gt;"Sí",N270&lt;&gt;"Sí",O270&lt;&gt;"Sí"),"Pendiente","Cerrado"),IF(D270="Batería","Cerrado","Revisar"))))</f>
        <v/>
      </c>
      <c r="S270" s="25">
        <f>IF(A270="","",IF(B270="","Falta la sesión",IF(C270="","Falta el soporte",IF(D270="","Soporte no encontrado",IF(COUNTIFS(tblControl[ID del soporte],C270,tblControl[Estado del control],"Abierto")&gt;1,"Soporte asignado más de una vez",IF(F270="","Falta la fecha de salida",IF(AND(I270&lt;&gt;"",I270&lt;F270),"La devolución es anterior a la salida",IF(AND(D270="Batería",G270=""),"Falta la carga de salida",IF(AND(D270="Batería",G270&lt;Resumen!$C$3),"Carga de salida inferior al mínimo",IF(AND(D270="Tarjeta",H270=""),"Falta el espacio libre de salida",IF(AND(D270="Tarjeta",I270&lt;&gt;"",L270&lt;&gt;"Sí"),"Descarga pendiente",IF(AND(D270="Tarjeta",L270="Sí",N270&lt;&gt;"Sí"),"Verificación pendiente",IF(AND(D270="Tarjeta",N270="Sí",O270&lt;&gt;"Sí"),"Borrado pendiente",IF(Q270&lt;&gt;"","Revisar incidencia","Correcto"))))))))))))))</f>
        <v/>
      </c>
      <c r="T270" s="20" t="n"/>
    </row>
    <row r="271" ht="22" customHeight="1">
      <c r="A271" s="20" t="n"/>
      <c r="B271" s="20" t="n"/>
      <c r="C271" s="20" t="n"/>
      <c r="D271" s="23">
        <f>IF(C271="","",IFERROR(_xlfn.XLOOKUP(C271,tblInventario[ID del soporte],tblInventario[Tipo],""),""))</f>
        <v/>
      </c>
      <c r="E271" s="20" t="n"/>
      <c r="F271" s="22" t="n"/>
      <c r="G271" s="20" t="n"/>
      <c r="H271" s="21" t="n"/>
      <c r="I271" s="22" t="n"/>
      <c r="J271" s="20" t="n"/>
      <c r="K271" s="21" t="n"/>
      <c r="L271" s="20" t="n"/>
      <c r="M271" s="22" t="n"/>
      <c r="N271" s="20" t="n"/>
      <c r="O271" s="20" t="n"/>
      <c r="P271" s="22" t="n"/>
      <c r="Q271" s="26" t="n"/>
      <c r="R271" s="23">
        <f>IF(A271="","",IF(I271="","Abierto",IF(D271="Tarjeta",IF(OR(L271&lt;&gt;"Sí",N271&lt;&gt;"Sí",O271&lt;&gt;"Sí"),"Pendiente","Cerrado"),IF(D271="Batería","Cerrado","Revisar"))))</f>
        <v/>
      </c>
      <c r="S271" s="25">
        <f>IF(A271="","",IF(B271="","Falta la sesión",IF(C271="","Falta el soporte",IF(D271="","Soporte no encontrado",IF(COUNTIFS(tblControl[ID del soporte],C271,tblControl[Estado del control],"Abierto")&gt;1,"Soporte asignado más de una vez",IF(F271="","Falta la fecha de salida",IF(AND(I271&lt;&gt;"",I271&lt;F271),"La devolución es anterior a la salida",IF(AND(D271="Batería",G271=""),"Falta la carga de salida",IF(AND(D271="Batería",G271&lt;Resumen!$C$3),"Carga de salida inferior al mínimo",IF(AND(D271="Tarjeta",H271=""),"Falta el espacio libre de salida",IF(AND(D271="Tarjeta",I271&lt;&gt;"",L271&lt;&gt;"Sí"),"Descarga pendiente",IF(AND(D271="Tarjeta",L271="Sí",N271&lt;&gt;"Sí"),"Verificación pendiente",IF(AND(D271="Tarjeta",N271="Sí",O271&lt;&gt;"Sí"),"Borrado pendiente",IF(Q271&lt;&gt;"","Revisar incidencia","Correcto"))))))))))))))</f>
        <v/>
      </c>
      <c r="T271" s="20" t="n"/>
    </row>
    <row r="272" ht="22" customHeight="1">
      <c r="A272" s="20" t="n"/>
      <c r="B272" s="20" t="n"/>
      <c r="C272" s="20" t="n"/>
      <c r="D272" s="23">
        <f>IF(C272="","",IFERROR(_xlfn.XLOOKUP(C272,tblInventario[ID del soporte],tblInventario[Tipo],""),""))</f>
        <v/>
      </c>
      <c r="E272" s="20" t="n"/>
      <c r="F272" s="22" t="n"/>
      <c r="G272" s="20" t="n"/>
      <c r="H272" s="21" t="n"/>
      <c r="I272" s="22" t="n"/>
      <c r="J272" s="20" t="n"/>
      <c r="K272" s="21" t="n"/>
      <c r="L272" s="20" t="n"/>
      <c r="M272" s="22" t="n"/>
      <c r="N272" s="20" t="n"/>
      <c r="O272" s="20" t="n"/>
      <c r="P272" s="22" t="n"/>
      <c r="Q272" s="26" t="n"/>
      <c r="R272" s="23">
        <f>IF(A272="","",IF(I272="","Abierto",IF(D272="Tarjeta",IF(OR(L272&lt;&gt;"Sí",N272&lt;&gt;"Sí",O272&lt;&gt;"Sí"),"Pendiente","Cerrado"),IF(D272="Batería","Cerrado","Revisar"))))</f>
        <v/>
      </c>
      <c r="S272" s="25">
        <f>IF(A272="","",IF(B272="","Falta la sesión",IF(C272="","Falta el soporte",IF(D272="","Soporte no encontrado",IF(COUNTIFS(tblControl[ID del soporte],C272,tblControl[Estado del control],"Abierto")&gt;1,"Soporte asignado más de una vez",IF(F272="","Falta la fecha de salida",IF(AND(I272&lt;&gt;"",I272&lt;F272),"La devolución es anterior a la salida",IF(AND(D272="Batería",G272=""),"Falta la carga de salida",IF(AND(D272="Batería",G272&lt;Resumen!$C$3),"Carga de salida inferior al mínimo",IF(AND(D272="Tarjeta",H272=""),"Falta el espacio libre de salida",IF(AND(D272="Tarjeta",I272&lt;&gt;"",L272&lt;&gt;"Sí"),"Descarga pendiente",IF(AND(D272="Tarjeta",L272="Sí",N272&lt;&gt;"Sí"),"Verificación pendiente",IF(AND(D272="Tarjeta",N272="Sí",O272&lt;&gt;"Sí"),"Borrado pendiente",IF(Q272&lt;&gt;"","Revisar incidencia","Correcto"))))))))))))))</f>
        <v/>
      </c>
      <c r="T272" s="20" t="n"/>
    </row>
    <row r="273" ht="22" customHeight="1">
      <c r="A273" s="20" t="n"/>
      <c r="B273" s="20" t="n"/>
      <c r="C273" s="20" t="n"/>
      <c r="D273" s="23">
        <f>IF(C273="","",IFERROR(_xlfn.XLOOKUP(C273,tblInventario[ID del soporte],tblInventario[Tipo],""),""))</f>
        <v/>
      </c>
      <c r="E273" s="20" t="n"/>
      <c r="F273" s="22" t="n"/>
      <c r="G273" s="20" t="n"/>
      <c r="H273" s="21" t="n"/>
      <c r="I273" s="22" t="n"/>
      <c r="J273" s="20" t="n"/>
      <c r="K273" s="21" t="n"/>
      <c r="L273" s="20" t="n"/>
      <c r="M273" s="22" t="n"/>
      <c r="N273" s="20" t="n"/>
      <c r="O273" s="20" t="n"/>
      <c r="P273" s="22" t="n"/>
      <c r="Q273" s="26" t="n"/>
      <c r="R273" s="23">
        <f>IF(A273="","",IF(I273="","Abierto",IF(D273="Tarjeta",IF(OR(L273&lt;&gt;"Sí",N273&lt;&gt;"Sí",O273&lt;&gt;"Sí"),"Pendiente","Cerrado"),IF(D273="Batería","Cerrado","Revisar"))))</f>
        <v/>
      </c>
      <c r="S273" s="25">
        <f>IF(A273="","",IF(B273="","Falta la sesión",IF(C273="","Falta el soporte",IF(D273="","Soporte no encontrado",IF(COUNTIFS(tblControl[ID del soporte],C273,tblControl[Estado del control],"Abierto")&gt;1,"Soporte asignado más de una vez",IF(F273="","Falta la fecha de salida",IF(AND(I273&lt;&gt;"",I273&lt;F273),"La devolución es anterior a la salida",IF(AND(D273="Batería",G273=""),"Falta la carga de salida",IF(AND(D273="Batería",G273&lt;Resumen!$C$3),"Carga de salida inferior al mínimo",IF(AND(D273="Tarjeta",H273=""),"Falta el espacio libre de salida",IF(AND(D273="Tarjeta",I273&lt;&gt;"",L273&lt;&gt;"Sí"),"Descarga pendiente",IF(AND(D273="Tarjeta",L273="Sí",N273&lt;&gt;"Sí"),"Verificación pendiente",IF(AND(D273="Tarjeta",N273="Sí",O273&lt;&gt;"Sí"),"Borrado pendiente",IF(Q273&lt;&gt;"","Revisar incidencia","Correcto"))))))))))))))</f>
        <v/>
      </c>
      <c r="T273" s="20" t="n"/>
    </row>
    <row r="274" ht="22" customHeight="1">
      <c r="A274" s="20" t="n"/>
      <c r="B274" s="20" t="n"/>
      <c r="C274" s="20" t="n"/>
      <c r="D274" s="23">
        <f>IF(C274="","",IFERROR(_xlfn.XLOOKUP(C274,tblInventario[ID del soporte],tblInventario[Tipo],""),""))</f>
        <v/>
      </c>
      <c r="E274" s="20" t="n"/>
      <c r="F274" s="22" t="n"/>
      <c r="G274" s="20" t="n"/>
      <c r="H274" s="21" t="n"/>
      <c r="I274" s="22" t="n"/>
      <c r="J274" s="20" t="n"/>
      <c r="K274" s="21" t="n"/>
      <c r="L274" s="20" t="n"/>
      <c r="M274" s="22" t="n"/>
      <c r="N274" s="20" t="n"/>
      <c r="O274" s="20" t="n"/>
      <c r="P274" s="22" t="n"/>
      <c r="Q274" s="26" t="n"/>
      <c r="R274" s="23">
        <f>IF(A274="","",IF(I274="","Abierto",IF(D274="Tarjeta",IF(OR(L274&lt;&gt;"Sí",N274&lt;&gt;"Sí",O274&lt;&gt;"Sí"),"Pendiente","Cerrado"),IF(D274="Batería","Cerrado","Revisar"))))</f>
        <v/>
      </c>
      <c r="S274" s="25">
        <f>IF(A274="","",IF(B274="","Falta la sesión",IF(C274="","Falta el soporte",IF(D274="","Soporte no encontrado",IF(COUNTIFS(tblControl[ID del soporte],C274,tblControl[Estado del control],"Abierto")&gt;1,"Soporte asignado más de una vez",IF(F274="","Falta la fecha de salida",IF(AND(I274&lt;&gt;"",I274&lt;F274),"La devolución es anterior a la salida",IF(AND(D274="Batería",G274=""),"Falta la carga de salida",IF(AND(D274="Batería",G274&lt;Resumen!$C$3),"Carga de salida inferior al mínimo",IF(AND(D274="Tarjeta",H274=""),"Falta el espacio libre de salida",IF(AND(D274="Tarjeta",I274&lt;&gt;"",L274&lt;&gt;"Sí"),"Descarga pendiente",IF(AND(D274="Tarjeta",L274="Sí",N274&lt;&gt;"Sí"),"Verificación pendiente",IF(AND(D274="Tarjeta",N274="Sí",O274&lt;&gt;"Sí"),"Borrado pendiente",IF(Q274&lt;&gt;"","Revisar incidencia","Correcto"))))))))))))))</f>
        <v/>
      </c>
      <c r="T274" s="20" t="n"/>
    </row>
    <row r="275" ht="22" customHeight="1">
      <c r="A275" s="20" t="n"/>
      <c r="B275" s="20" t="n"/>
      <c r="C275" s="20" t="n"/>
      <c r="D275" s="23">
        <f>IF(C275="","",IFERROR(_xlfn.XLOOKUP(C275,tblInventario[ID del soporte],tblInventario[Tipo],""),""))</f>
        <v/>
      </c>
      <c r="E275" s="20" t="n"/>
      <c r="F275" s="22" t="n"/>
      <c r="G275" s="20" t="n"/>
      <c r="H275" s="21" t="n"/>
      <c r="I275" s="22" t="n"/>
      <c r="J275" s="20" t="n"/>
      <c r="K275" s="21" t="n"/>
      <c r="L275" s="20" t="n"/>
      <c r="M275" s="22" t="n"/>
      <c r="N275" s="20" t="n"/>
      <c r="O275" s="20" t="n"/>
      <c r="P275" s="22" t="n"/>
      <c r="Q275" s="26" t="n"/>
      <c r="R275" s="23">
        <f>IF(A275="","",IF(I275="","Abierto",IF(D275="Tarjeta",IF(OR(L275&lt;&gt;"Sí",N275&lt;&gt;"Sí",O275&lt;&gt;"Sí"),"Pendiente","Cerrado"),IF(D275="Batería","Cerrado","Revisar"))))</f>
        <v/>
      </c>
      <c r="S275" s="25">
        <f>IF(A275="","",IF(B275="","Falta la sesión",IF(C275="","Falta el soporte",IF(D275="","Soporte no encontrado",IF(COUNTIFS(tblControl[ID del soporte],C275,tblControl[Estado del control],"Abierto")&gt;1,"Soporte asignado más de una vez",IF(F275="","Falta la fecha de salida",IF(AND(I275&lt;&gt;"",I275&lt;F275),"La devolución es anterior a la salida",IF(AND(D275="Batería",G275=""),"Falta la carga de salida",IF(AND(D275="Batería",G275&lt;Resumen!$C$3),"Carga de salida inferior al mínimo",IF(AND(D275="Tarjeta",H275=""),"Falta el espacio libre de salida",IF(AND(D275="Tarjeta",I275&lt;&gt;"",L275&lt;&gt;"Sí"),"Descarga pendiente",IF(AND(D275="Tarjeta",L275="Sí",N275&lt;&gt;"Sí"),"Verificación pendiente",IF(AND(D275="Tarjeta",N275="Sí",O275&lt;&gt;"Sí"),"Borrado pendiente",IF(Q275&lt;&gt;"","Revisar incidencia","Correcto"))))))))))))))</f>
        <v/>
      </c>
      <c r="T275" s="20" t="n"/>
    </row>
    <row r="276" ht="22" customHeight="1">
      <c r="A276" s="20" t="n"/>
      <c r="B276" s="20" t="n"/>
      <c r="C276" s="20" t="n"/>
      <c r="D276" s="23">
        <f>IF(C276="","",IFERROR(_xlfn.XLOOKUP(C276,tblInventario[ID del soporte],tblInventario[Tipo],""),""))</f>
        <v/>
      </c>
      <c r="E276" s="20" t="n"/>
      <c r="F276" s="22" t="n"/>
      <c r="G276" s="20" t="n"/>
      <c r="H276" s="21" t="n"/>
      <c r="I276" s="22" t="n"/>
      <c r="J276" s="20" t="n"/>
      <c r="K276" s="21" t="n"/>
      <c r="L276" s="20" t="n"/>
      <c r="M276" s="22" t="n"/>
      <c r="N276" s="20" t="n"/>
      <c r="O276" s="20" t="n"/>
      <c r="P276" s="22" t="n"/>
      <c r="Q276" s="26" t="n"/>
      <c r="R276" s="23">
        <f>IF(A276="","",IF(I276="","Abierto",IF(D276="Tarjeta",IF(OR(L276&lt;&gt;"Sí",N276&lt;&gt;"Sí",O276&lt;&gt;"Sí"),"Pendiente","Cerrado"),IF(D276="Batería","Cerrado","Revisar"))))</f>
        <v/>
      </c>
      <c r="S276" s="25">
        <f>IF(A276="","",IF(B276="","Falta la sesión",IF(C276="","Falta el soporte",IF(D276="","Soporte no encontrado",IF(COUNTIFS(tblControl[ID del soporte],C276,tblControl[Estado del control],"Abierto")&gt;1,"Soporte asignado más de una vez",IF(F276="","Falta la fecha de salida",IF(AND(I276&lt;&gt;"",I276&lt;F276),"La devolución es anterior a la salida",IF(AND(D276="Batería",G276=""),"Falta la carga de salida",IF(AND(D276="Batería",G276&lt;Resumen!$C$3),"Carga de salida inferior al mínimo",IF(AND(D276="Tarjeta",H276=""),"Falta el espacio libre de salida",IF(AND(D276="Tarjeta",I276&lt;&gt;"",L276&lt;&gt;"Sí"),"Descarga pendiente",IF(AND(D276="Tarjeta",L276="Sí",N276&lt;&gt;"Sí"),"Verificación pendiente",IF(AND(D276="Tarjeta",N276="Sí",O276&lt;&gt;"Sí"),"Borrado pendiente",IF(Q276&lt;&gt;"","Revisar incidencia","Correcto"))))))))))))))</f>
        <v/>
      </c>
      <c r="T276" s="20" t="n"/>
    </row>
    <row r="277" ht="22" customHeight="1">
      <c r="A277" s="20" t="n"/>
      <c r="B277" s="20" t="n"/>
      <c r="C277" s="20" t="n"/>
      <c r="D277" s="23">
        <f>IF(C277="","",IFERROR(_xlfn.XLOOKUP(C277,tblInventario[ID del soporte],tblInventario[Tipo],""),""))</f>
        <v/>
      </c>
      <c r="E277" s="20" t="n"/>
      <c r="F277" s="22" t="n"/>
      <c r="G277" s="20" t="n"/>
      <c r="H277" s="21" t="n"/>
      <c r="I277" s="22" t="n"/>
      <c r="J277" s="20" t="n"/>
      <c r="K277" s="21" t="n"/>
      <c r="L277" s="20" t="n"/>
      <c r="M277" s="22" t="n"/>
      <c r="N277" s="20" t="n"/>
      <c r="O277" s="20" t="n"/>
      <c r="P277" s="22" t="n"/>
      <c r="Q277" s="26" t="n"/>
      <c r="R277" s="23">
        <f>IF(A277="","",IF(I277="","Abierto",IF(D277="Tarjeta",IF(OR(L277&lt;&gt;"Sí",N277&lt;&gt;"Sí",O277&lt;&gt;"Sí"),"Pendiente","Cerrado"),IF(D277="Batería","Cerrado","Revisar"))))</f>
        <v/>
      </c>
      <c r="S277" s="25">
        <f>IF(A277="","",IF(B277="","Falta la sesión",IF(C277="","Falta el soporte",IF(D277="","Soporte no encontrado",IF(COUNTIFS(tblControl[ID del soporte],C277,tblControl[Estado del control],"Abierto")&gt;1,"Soporte asignado más de una vez",IF(F277="","Falta la fecha de salida",IF(AND(I277&lt;&gt;"",I277&lt;F277),"La devolución es anterior a la salida",IF(AND(D277="Batería",G277=""),"Falta la carga de salida",IF(AND(D277="Batería",G277&lt;Resumen!$C$3),"Carga de salida inferior al mínimo",IF(AND(D277="Tarjeta",H277=""),"Falta el espacio libre de salida",IF(AND(D277="Tarjeta",I277&lt;&gt;"",L277&lt;&gt;"Sí"),"Descarga pendiente",IF(AND(D277="Tarjeta",L277="Sí",N277&lt;&gt;"Sí"),"Verificación pendiente",IF(AND(D277="Tarjeta",N277="Sí",O277&lt;&gt;"Sí"),"Borrado pendiente",IF(Q277&lt;&gt;"","Revisar incidencia","Correcto"))))))))))))))</f>
        <v/>
      </c>
      <c r="T277" s="20" t="n"/>
    </row>
    <row r="278" ht="22" customHeight="1">
      <c r="A278" s="20" t="n"/>
      <c r="B278" s="20" t="n"/>
      <c r="C278" s="20" t="n"/>
      <c r="D278" s="23">
        <f>IF(C278="","",IFERROR(_xlfn.XLOOKUP(C278,tblInventario[ID del soporte],tblInventario[Tipo],""),""))</f>
        <v/>
      </c>
      <c r="E278" s="20" t="n"/>
      <c r="F278" s="22" t="n"/>
      <c r="G278" s="20" t="n"/>
      <c r="H278" s="21" t="n"/>
      <c r="I278" s="22" t="n"/>
      <c r="J278" s="20" t="n"/>
      <c r="K278" s="21" t="n"/>
      <c r="L278" s="20" t="n"/>
      <c r="M278" s="22" t="n"/>
      <c r="N278" s="20" t="n"/>
      <c r="O278" s="20" t="n"/>
      <c r="P278" s="22" t="n"/>
      <c r="Q278" s="26" t="n"/>
      <c r="R278" s="23">
        <f>IF(A278="","",IF(I278="","Abierto",IF(D278="Tarjeta",IF(OR(L278&lt;&gt;"Sí",N278&lt;&gt;"Sí",O278&lt;&gt;"Sí"),"Pendiente","Cerrado"),IF(D278="Batería","Cerrado","Revisar"))))</f>
        <v/>
      </c>
      <c r="S278" s="25">
        <f>IF(A278="","",IF(B278="","Falta la sesión",IF(C278="","Falta el soporte",IF(D278="","Soporte no encontrado",IF(COUNTIFS(tblControl[ID del soporte],C278,tblControl[Estado del control],"Abierto")&gt;1,"Soporte asignado más de una vez",IF(F278="","Falta la fecha de salida",IF(AND(I278&lt;&gt;"",I278&lt;F278),"La devolución es anterior a la salida",IF(AND(D278="Batería",G278=""),"Falta la carga de salida",IF(AND(D278="Batería",G278&lt;Resumen!$C$3),"Carga de salida inferior al mínimo",IF(AND(D278="Tarjeta",H278=""),"Falta el espacio libre de salida",IF(AND(D278="Tarjeta",I278&lt;&gt;"",L278&lt;&gt;"Sí"),"Descarga pendiente",IF(AND(D278="Tarjeta",L278="Sí",N278&lt;&gt;"Sí"),"Verificación pendiente",IF(AND(D278="Tarjeta",N278="Sí",O278&lt;&gt;"Sí"),"Borrado pendiente",IF(Q278&lt;&gt;"","Revisar incidencia","Correcto"))))))))))))))</f>
        <v/>
      </c>
      <c r="T278" s="20" t="n"/>
    </row>
    <row r="279" ht="22" customHeight="1">
      <c r="A279" s="20" t="n"/>
      <c r="B279" s="20" t="n"/>
      <c r="C279" s="20" t="n"/>
      <c r="D279" s="23">
        <f>IF(C279="","",IFERROR(_xlfn.XLOOKUP(C279,tblInventario[ID del soporte],tblInventario[Tipo],""),""))</f>
        <v/>
      </c>
      <c r="E279" s="20" t="n"/>
      <c r="F279" s="22" t="n"/>
      <c r="G279" s="20" t="n"/>
      <c r="H279" s="21" t="n"/>
      <c r="I279" s="22" t="n"/>
      <c r="J279" s="20" t="n"/>
      <c r="K279" s="21" t="n"/>
      <c r="L279" s="20" t="n"/>
      <c r="M279" s="22" t="n"/>
      <c r="N279" s="20" t="n"/>
      <c r="O279" s="20" t="n"/>
      <c r="P279" s="22" t="n"/>
      <c r="Q279" s="26" t="n"/>
      <c r="R279" s="23">
        <f>IF(A279="","",IF(I279="","Abierto",IF(D279="Tarjeta",IF(OR(L279&lt;&gt;"Sí",N279&lt;&gt;"Sí",O279&lt;&gt;"Sí"),"Pendiente","Cerrado"),IF(D279="Batería","Cerrado","Revisar"))))</f>
        <v/>
      </c>
      <c r="S279" s="25">
        <f>IF(A279="","",IF(B279="","Falta la sesión",IF(C279="","Falta el soporte",IF(D279="","Soporte no encontrado",IF(COUNTIFS(tblControl[ID del soporte],C279,tblControl[Estado del control],"Abierto")&gt;1,"Soporte asignado más de una vez",IF(F279="","Falta la fecha de salida",IF(AND(I279&lt;&gt;"",I279&lt;F279),"La devolución es anterior a la salida",IF(AND(D279="Batería",G279=""),"Falta la carga de salida",IF(AND(D279="Batería",G279&lt;Resumen!$C$3),"Carga de salida inferior al mínimo",IF(AND(D279="Tarjeta",H279=""),"Falta el espacio libre de salida",IF(AND(D279="Tarjeta",I279&lt;&gt;"",L279&lt;&gt;"Sí"),"Descarga pendiente",IF(AND(D279="Tarjeta",L279="Sí",N279&lt;&gt;"Sí"),"Verificación pendiente",IF(AND(D279="Tarjeta",N279="Sí",O279&lt;&gt;"Sí"),"Borrado pendiente",IF(Q279&lt;&gt;"","Revisar incidencia","Correcto"))))))))))))))</f>
        <v/>
      </c>
      <c r="T279" s="20" t="n"/>
    </row>
    <row r="280" ht="22" customHeight="1">
      <c r="A280" s="20" t="n"/>
      <c r="B280" s="20" t="n"/>
      <c r="C280" s="20" t="n"/>
      <c r="D280" s="23">
        <f>IF(C280="","",IFERROR(_xlfn.XLOOKUP(C280,tblInventario[ID del soporte],tblInventario[Tipo],""),""))</f>
        <v/>
      </c>
      <c r="E280" s="20" t="n"/>
      <c r="F280" s="22" t="n"/>
      <c r="G280" s="20" t="n"/>
      <c r="H280" s="21" t="n"/>
      <c r="I280" s="22" t="n"/>
      <c r="J280" s="20" t="n"/>
      <c r="K280" s="21" t="n"/>
      <c r="L280" s="20" t="n"/>
      <c r="M280" s="22" t="n"/>
      <c r="N280" s="20" t="n"/>
      <c r="O280" s="20" t="n"/>
      <c r="P280" s="22" t="n"/>
      <c r="Q280" s="26" t="n"/>
      <c r="R280" s="23">
        <f>IF(A280="","",IF(I280="","Abierto",IF(D280="Tarjeta",IF(OR(L280&lt;&gt;"Sí",N280&lt;&gt;"Sí",O280&lt;&gt;"Sí"),"Pendiente","Cerrado"),IF(D280="Batería","Cerrado","Revisar"))))</f>
        <v/>
      </c>
      <c r="S280" s="25">
        <f>IF(A280="","",IF(B280="","Falta la sesión",IF(C280="","Falta el soporte",IF(D280="","Soporte no encontrado",IF(COUNTIFS(tblControl[ID del soporte],C280,tblControl[Estado del control],"Abierto")&gt;1,"Soporte asignado más de una vez",IF(F280="","Falta la fecha de salida",IF(AND(I280&lt;&gt;"",I280&lt;F280),"La devolución es anterior a la salida",IF(AND(D280="Batería",G280=""),"Falta la carga de salida",IF(AND(D280="Batería",G280&lt;Resumen!$C$3),"Carga de salida inferior al mínimo",IF(AND(D280="Tarjeta",H280=""),"Falta el espacio libre de salida",IF(AND(D280="Tarjeta",I280&lt;&gt;"",L280&lt;&gt;"Sí"),"Descarga pendiente",IF(AND(D280="Tarjeta",L280="Sí",N280&lt;&gt;"Sí"),"Verificación pendiente",IF(AND(D280="Tarjeta",N280="Sí",O280&lt;&gt;"Sí"),"Borrado pendiente",IF(Q280&lt;&gt;"","Revisar incidencia","Correcto"))))))))))))))</f>
        <v/>
      </c>
      <c r="T280" s="20" t="n"/>
    </row>
    <row r="281" ht="22" customHeight="1">
      <c r="A281" s="20" t="n"/>
      <c r="B281" s="20" t="n"/>
      <c r="C281" s="20" t="n"/>
      <c r="D281" s="23">
        <f>IF(C281="","",IFERROR(_xlfn.XLOOKUP(C281,tblInventario[ID del soporte],tblInventario[Tipo],""),""))</f>
        <v/>
      </c>
      <c r="E281" s="20" t="n"/>
      <c r="F281" s="22" t="n"/>
      <c r="G281" s="20" t="n"/>
      <c r="H281" s="21" t="n"/>
      <c r="I281" s="22" t="n"/>
      <c r="J281" s="20" t="n"/>
      <c r="K281" s="21" t="n"/>
      <c r="L281" s="20" t="n"/>
      <c r="M281" s="22" t="n"/>
      <c r="N281" s="20" t="n"/>
      <c r="O281" s="20" t="n"/>
      <c r="P281" s="22" t="n"/>
      <c r="Q281" s="26" t="n"/>
      <c r="R281" s="23">
        <f>IF(A281="","",IF(I281="","Abierto",IF(D281="Tarjeta",IF(OR(L281&lt;&gt;"Sí",N281&lt;&gt;"Sí",O281&lt;&gt;"Sí"),"Pendiente","Cerrado"),IF(D281="Batería","Cerrado","Revisar"))))</f>
        <v/>
      </c>
      <c r="S281" s="25">
        <f>IF(A281="","",IF(B281="","Falta la sesión",IF(C281="","Falta el soporte",IF(D281="","Soporte no encontrado",IF(COUNTIFS(tblControl[ID del soporte],C281,tblControl[Estado del control],"Abierto")&gt;1,"Soporte asignado más de una vez",IF(F281="","Falta la fecha de salida",IF(AND(I281&lt;&gt;"",I281&lt;F281),"La devolución es anterior a la salida",IF(AND(D281="Batería",G281=""),"Falta la carga de salida",IF(AND(D281="Batería",G281&lt;Resumen!$C$3),"Carga de salida inferior al mínimo",IF(AND(D281="Tarjeta",H281=""),"Falta el espacio libre de salida",IF(AND(D281="Tarjeta",I281&lt;&gt;"",L281&lt;&gt;"Sí"),"Descarga pendiente",IF(AND(D281="Tarjeta",L281="Sí",N281&lt;&gt;"Sí"),"Verificación pendiente",IF(AND(D281="Tarjeta",N281="Sí",O281&lt;&gt;"Sí"),"Borrado pendiente",IF(Q281&lt;&gt;"","Revisar incidencia","Correcto"))))))))))))))</f>
        <v/>
      </c>
      <c r="T281" s="20" t="n"/>
    </row>
    <row r="282" ht="22" customHeight="1">
      <c r="A282" s="20" t="n"/>
      <c r="B282" s="20" t="n"/>
      <c r="C282" s="20" t="n"/>
      <c r="D282" s="23">
        <f>IF(C282="","",IFERROR(_xlfn.XLOOKUP(C282,tblInventario[ID del soporte],tblInventario[Tipo],""),""))</f>
        <v/>
      </c>
      <c r="E282" s="20" t="n"/>
      <c r="F282" s="22" t="n"/>
      <c r="G282" s="20" t="n"/>
      <c r="H282" s="21" t="n"/>
      <c r="I282" s="22" t="n"/>
      <c r="J282" s="20" t="n"/>
      <c r="K282" s="21" t="n"/>
      <c r="L282" s="20" t="n"/>
      <c r="M282" s="22" t="n"/>
      <c r="N282" s="20" t="n"/>
      <c r="O282" s="20" t="n"/>
      <c r="P282" s="22" t="n"/>
      <c r="Q282" s="26" t="n"/>
      <c r="R282" s="23">
        <f>IF(A282="","",IF(I282="","Abierto",IF(D282="Tarjeta",IF(OR(L282&lt;&gt;"Sí",N282&lt;&gt;"Sí",O282&lt;&gt;"Sí"),"Pendiente","Cerrado"),IF(D282="Batería","Cerrado","Revisar"))))</f>
        <v/>
      </c>
      <c r="S282" s="25">
        <f>IF(A282="","",IF(B282="","Falta la sesión",IF(C282="","Falta el soporte",IF(D282="","Soporte no encontrado",IF(COUNTIFS(tblControl[ID del soporte],C282,tblControl[Estado del control],"Abierto")&gt;1,"Soporte asignado más de una vez",IF(F282="","Falta la fecha de salida",IF(AND(I282&lt;&gt;"",I282&lt;F282),"La devolución es anterior a la salida",IF(AND(D282="Batería",G282=""),"Falta la carga de salida",IF(AND(D282="Batería",G282&lt;Resumen!$C$3),"Carga de salida inferior al mínimo",IF(AND(D282="Tarjeta",H282=""),"Falta el espacio libre de salida",IF(AND(D282="Tarjeta",I282&lt;&gt;"",L282&lt;&gt;"Sí"),"Descarga pendiente",IF(AND(D282="Tarjeta",L282="Sí",N282&lt;&gt;"Sí"),"Verificación pendiente",IF(AND(D282="Tarjeta",N282="Sí",O282&lt;&gt;"Sí"),"Borrado pendiente",IF(Q282&lt;&gt;"","Revisar incidencia","Correcto"))))))))))))))</f>
        <v/>
      </c>
      <c r="T282" s="20" t="n"/>
    </row>
    <row r="283" ht="22" customHeight="1">
      <c r="A283" s="20" t="n"/>
      <c r="B283" s="20" t="n"/>
      <c r="C283" s="20" t="n"/>
      <c r="D283" s="23">
        <f>IF(C283="","",IFERROR(_xlfn.XLOOKUP(C283,tblInventario[ID del soporte],tblInventario[Tipo],""),""))</f>
        <v/>
      </c>
      <c r="E283" s="20" t="n"/>
      <c r="F283" s="22" t="n"/>
      <c r="G283" s="20" t="n"/>
      <c r="H283" s="21" t="n"/>
      <c r="I283" s="22" t="n"/>
      <c r="J283" s="20" t="n"/>
      <c r="K283" s="21" t="n"/>
      <c r="L283" s="20" t="n"/>
      <c r="M283" s="22" t="n"/>
      <c r="N283" s="20" t="n"/>
      <c r="O283" s="20" t="n"/>
      <c r="P283" s="22" t="n"/>
      <c r="Q283" s="26" t="n"/>
      <c r="R283" s="23">
        <f>IF(A283="","",IF(I283="","Abierto",IF(D283="Tarjeta",IF(OR(L283&lt;&gt;"Sí",N283&lt;&gt;"Sí",O283&lt;&gt;"Sí"),"Pendiente","Cerrado"),IF(D283="Batería","Cerrado","Revisar"))))</f>
        <v/>
      </c>
      <c r="S283" s="25">
        <f>IF(A283="","",IF(B283="","Falta la sesión",IF(C283="","Falta el soporte",IF(D283="","Soporte no encontrado",IF(COUNTIFS(tblControl[ID del soporte],C283,tblControl[Estado del control],"Abierto")&gt;1,"Soporte asignado más de una vez",IF(F283="","Falta la fecha de salida",IF(AND(I283&lt;&gt;"",I283&lt;F283),"La devolución es anterior a la salida",IF(AND(D283="Batería",G283=""),"Falta la carga de salida",IF(AND(D283="Batería",G283&lt;Resumen!$C$3),"Carga de salida inferior al mínimo",IF(AND(D283="Tarjeta",H283=""),"Falta el espacio libre de salida",IF(AND(D283="Tarjeta",I283&lt;&gt;"",L283&lt;&gt;"Sí"),"Descarga pendiente",IF(AND(D283="Tarjeta",L283="Sí",N283&lt;&gt;"Sí"),"Verificación pendiente",IF(AND(D283="Tarjeta",N283="Sí",O283&lt;&gt;"Sí"),"Borrado pendiente",IF(Q283&lt;&gt;"","Revisar incidencia","Correcto"))))))))))))))</f>
        <v/>
      </c>
      <c r="T283" s="20" t="n"/>
    </row>
    <row r="284" ht="22" customHeight="1">
      <c r="A284" s="20" t="n"/>
      <c r="B284" s="20" t="n"/>
      <c r="C284" s="20" t="n"/>
      <c r="D284" s="23">
        <f>IF(C284="","",IFERROR(_xlfn.XLOOKUP(C284,tblInventario[ID del soporte],tblInventario[Tipo],""),""))</f>
        <v/>
      </c>
      <c r="E284" s="20" t="n"/>
      <c r="F284" s="22" t="n"/>
      <c r="G284" s="20" t="n"/>
      <c r="H284" s="21" t="n"/>
      <c r="I284" s="22" t="n"/>
      <c r="J284" s="20" t="n"/>
      <c r="K284" s="21" t="n"/>
      <c r="L284" s="20" t="n"/>
      <c r="M284" s="22" t="n"/>
      <c r="N284" s="20" t="n"/>
      <c r="O284" s="20" t="n"/>
      <c r="P284" s="22" t="n"/>
      <c r="Q284" s="26" t="n"/>
      <c r="R284" s="23">
        <f>IF(A284="","",IF(I284="","Abierto",IF(D284="Tarjeta",IF(OR(L284&lt;&gt;"Sí",N284&lt;&gt;"Sí",O284&lt;&gt;"Sí"),"Pendiente","Cerrado"),IF(D284="Batería","Cerrado","Revisar"))))</f>
        <v/>
      </c>
      <c r="S284" s="25">
        <f>IF(A284="","",IF(B284="","Falta la sesión",IF(C284="","Falta el soporte",IF(D284="","Soporte no encontrado",IF(COUNTIFS(tblControl[ID del soporte],C284,tblControl[Estado del control],"Abierto")&gt;1,"Soporte asignado más de una vez",IF(F284="","Falta la fecha de salida",IF(AND(I284&lt;&gt;"",I284&lt;F284),"La devolución es anterior a la salida",IF(AND(D284="Batería",G284=""),"Falta la carga de salida",IF(AND(D284="Batería",G284&lt;Resumen!$C$3),"Carga de salida inferior al mínimo",IF(AND(D284="Tarjeta",H284=""),"Falta el espacio libre de salida",IF(AND(D284="Tarjeta",I284&lt;&gt;"",L284&lt;&gt;"Sí"),"Descarga pendiente",IF(AND(D284="Tarjeta",L284="Sí",N284&lt;&gt;"Sí"),"Verificación pendiente",IF(AND(D284="Tarjeta",N284="Sí",O284&lt;&gt;"Sí"),"Borrado pendiente",IF(Q284&lt;&gt;"","Revisar incidencia","Correcto"))))))))))))))</f>
        <v/>
      </c>
      <c r="T284" s="20" t="n"/>
    </row>
    <row r="285" ht="22" customHeight="1">
      <c r="A285" s="20" t="n"/>
      <c r="B285" s="20" t="n"/>
      <c r="C285" s="20" t="n"/>
      <c r="D285" s="23">
        <f>IF(C285="","",IFERROR(_xlfn.XLOOKUP(C285,tblInventario[ID del soporte],tblInventario[Tipo],""),""))</f>
        <v/>
      </c>
      <c r="E285" s="20" t="n"/>
      <c r="F285" s="22" t="n"/>
      <c r="G285" s="20" t="n"/>
      <c r="H285" s="21" t="n"/>
      <c r="I285" s="22" t="n"/>
      <c r="J285" s="20" t="n"/>
      <c r="K285" s="21" t="n"/>
      <c r="L285" s="20" t="n"/>
      <c r="M285" s="22" t="n"/>
      <c r="N285" s="20" t="n"/>
      <c r="O285" s="20" t="n"/>
      <c r="P285" s="22" t="n"/>
      <c r="Q285" s="26" t="n"/>
      <c r="R285" s="23">
        <f>IF(A285="","",IF(I285="","Abierto",IF(D285="Tarjeta",IF(OR(L285&lt;&gt;"Sí",N285&lt;&gt;"Sí",O285&lt;&gt;"Sí"),"Pendiente","Cerrado"),IF(D285="Batería","Cerrado","Revisar"))))</f>
        <v/>
      </c>
      <c r="S285" s="25">
        <f>IF(A285="","",IF(B285="","Falta la sesión",IF(C285="","Falta el soporte",IF(D285="","Soporte no encontrado",IF(COUNTIFS(tblControl[ID del soporte],C285,tblControl[Estado del control],"Abierto")&gt;1,"Soporte asignado más de una vez",IF(F285="","Falta la fecha de salida",IF(AND(I285&lt;&gt;"",I285&lt;F285),"La devolución es anterior a la salida",IF(AND(D285="Batería",G285=""),"Falta la carga de salida",IF(AND(D285="Batería",G285&lt;Resumen!$C$3),"Carga de salida inferior al mínimo",IF(AND(D285="Tarjeta",H285=""),"Falta el espacio libre de salida",IF(AND(D285="Tarjeta",I285&lt;&gt;"",L285&lt;&gt;"Sí"),"Descarga pendiente",IF(AND(D285="Tarjeta",L285="Sí",N285&lt;&gt;"Sí"),"Verificación pendiente",IF(AND(D285="Tarjeta",N285="Sí",O285&lt;&gt;"Sí"),"Borrado pendiente",IF(Q285&lt;&gt;"","Revisar incidencia","Correcto"))))))))))))))</f>
        <v/>
      </c>
      <c r="T285" s="20" t="n"/>
    </row>
    <row r="286" ht="22" customHeight="1">
      <c r="A286" s="20" t="n"/>
      <c r="B286" s="20" t="n"/>
      <c r="C286" s="20" t="n"/>
      <c r="D286" s="23">
        <f>IF(C286="","",IFERROR(_xlfn.XLOOKUP(C286,tblInventario[ID del soporte],tblInventario[Tipo],""),""))</f>
        <v/>
      </c>
      <c r="E286" s="20" t="n"/>
      <c r="F286" s="22" t="n"/>
      <c r="G286" s="20" t="n"/>
      <c r="H286" s="21" t="n"/>
      <c r="I286" s="22" t="n"/>
      <c r="J286" s="20" t="n"/>
      <c r="K286" s="21" t="n"/>
      <c r="L286" s="20" t="n"/>
      <c r="M286" s="22" t="n"/>
      <c r="N286" s="20" t="n"/>
      <c r="O286" s="20" t="n"/>
      <c r="P286" s="22" t="n"/>
      <c r="Q286" s="26" t="n"/>
      <c r="R286" s="23">
        <f>IF(A286="","",IF(I286="","Abierto",IF(D286="Tarjeta",IF(OR(L286&lt;&gt;"Sí",N286&lt;&gt;"Sí",O286&lt;&gt;"Sí"),"Pendiente","Cerrado"),IF(D286="Batería","Cerrado","Revisar"))))</f>
        <v/>
      </c>
      <c r="S286" s="25">
        <f>IF(A286="","",IF(B286="","Falta la sesión",IF(C286="","Falta el soporte",IF(D286="","Soporte no encontrado",IF(COUNTIFS(tblControl[ID del soporte],C286,tblControl[Estado del control],"Abierto")&gt;1,"Soporte asignado más de una vez",IF(F286="","Falta la fecha de salida",IF(AND(I286&lt;&gt;"",I286&lt;F286),"La devolución es anterior a la salida",IF(AND(D286="Batería",G286=""),"Falta la carga de salida",IF(AND(D286="Batería",G286&lt;Resumen!$C$3),"Carga de salida inferior al mínimo",IF(AND(D286="Tarjeta",H286=""),"Falta el espacio libre de salida",IF(AND(D286="Tarjeta",I286&lt;&gt;"",L286&lt;&gt;"Sí"),"Descarga pendiente",IF(AND(D286="Tarjeta",L286="Sí",N286&lt;&gt;"Sí"),"Verificación pendiente",IF(AND(D286="Tarjeta",N286="Sí",O286&lt;&gt;"Sí"),"Borrado pendiente",IF(Q286&lt;&gt;"","Revisar incidencia","Correcto"))))))))))))))</f>
        <v/>
      </c>
      <c r="T286" s="20" t="n"/>
    </row>
    <row r="287" ht="22" customHeight="1">
      <c r="A287" s="20" t="n"/>
      <c r="B287" s="20" t="n"/>
      <c r="C287" s="20" t="n"/>
      <c r="D287" s="23">
        <f>IF(C287="","",IFERROR(_xlfn.XLOOKUP(C287,tblInventario[ID del soporte],tblInventario[Tipo],""),""))</f>
        <v/>
      </c>
      <c r="E287" s="20" t="n"/>
      <c r="F287" s="22" t="n"/>
      <c r="G287" s="20" t="n"/>
      <c r="H287" s="21" t="n"/>
      <c r="I287" s="22" t="n"/>
      <c r="J287" s="20" t="n"/>
      <c r="K287" s="21" t="n"/>
      <c r="L287" s="20" t="n"/>
      <c r="M287" s="22" t="n"/>
      <c r="N287" s="20" t="n"/>
      <c r="O287" s="20" t="n"/>
      <c r="P287" s="22" t="n"/>
      <c r="Q287" s="26" t="n"/>
      <c r="R287" s="23">
        <f>IF(A287="","",IF(I287="","Abierto",IF(D287="Tarjeta",IF(OR(L287&lt;&gt;"Sí",N287&lt;&gt;"Sí",O287&lt;&gt;"Sí"),"Pendiente","Cerrado"),IF(D287="Batería","Cerrado","Revisar"))))</f>
        <v/>
      </c>
      <c r="S287" s="25">
        <f>IF(A287="","",IF(B287="","Falta la sesión",IF(C287="","Falta el soporte",IF(D287="","Soporte no encontrado",IF(COUNTIFS(tblControl[ID del soporte],C287,tblControl[Estado del control],"Abierto")&gt;1,"Soporte asignado más de una vez",IF(F287="","Falta la fecha de salida",IF(AND(I287&lt;&gt;"",I287&lt;F287),"La devolución es anterior a la salida",IF(AND(D287="Batería",G287=""),"Falta la carga de salida",IF(AND(D287="Batería",G287&lt;Resumen!$C$3),"Carga de salida inferior al mínimo",IF(AND(D287="Tarjeta",H287=""),"Falta el espacio libre de salida",IF(AND(D287="Tarjeta",I287&lt;&gt;"",L287&lt;&gt;"Sí"),"Descarga pendiente",IF(AND(D287="Tarjeta",L287="Sí",N287&lt;&gt;"Sí"),"Verificación pendiente",IF(AND(D287="Tarjeta",N287="Sí",O287&lt;&gt;"Sí"),"Borrado pendiente",IF(Q287&lt;&gt;"","Revisar incidencia","Correcto"))))))))))))))</f>
        <v/>
      </c>
      <c r="T287" s="20" t="n"/>
    </row>
    <row r="288" ht="22" customHeight="1">
      <c r="A288" s="20" t="n"/>
      <c r="B288" s="20" t="n"/>
      <c r="C288" s="20" t="n"/>
      <c r="D288" s="23">
        <f>IF(C288="","",IFERROR(_xlfn.XLOOKUP(C288,tblInventario[ID del soporte],tblInventario[Tipo],""),""))</f>
        <v/>
      </c>
      <c r="E288" s="20" t="n"/>
      <c r="F288" s="22" t="n"/>
      <c r="G288" s="20" t="n"/>
      <c r="H288" s="21" t="n"/>
      <c r="I288" s="22" t="n"/>
      <c r="J288" s="20" t="n"/>
      <c r="K288" s="21" t="n"/>
      <c r="L288" s="20" t="n"/>
      <c r="M288" s="22" t="n"/>
      <c r="N288" s="20" t="n"/>
      <c r="O288" s="20" t="n"/>
      <c r="P288" s="22" t="n"/>
      <c r="Q288" s="26" t="n"/>
      <c r="R288" s="23">
        <f>IF(A288="","",IF(I288="","Abierto",IF(D288="Tarjeta",IF(OR(L288&lt;&gt;"Sí",N288&lt;&gt;"Sí",O288&lt;&gt;"Sí"),"Pendiente","Cerrado"),IF(D288="Batería","Cerrado","Revisar"))))</f>
        <v/>
      </c>
      <c r="S288" s="25">
        <f>IF(A288="","",IF(B288="","Falta la sesión",IF(C288="","Falta el soporte",IF(D288="","Soporte no encontrado",IF(COUNTIFS(tblControl[ID del soporte],C288,tblControl[Estado del control],"Abierto")&gt;1,"Soporte asignado más de una vez",IF(F288="","Falta la fecha de salida",IF(AND(I288&lt;&gt;"",I288&lt;F288),"La devolución es anterior a la salida",IF(AND(D288="Batería",G288=""),"Falta la carga de salida",IF(AND(D288="Batería",G288&lt;Resumen!$C$3),"Carga de salida inferior al mínimo",IF(AND(D288="Tarjeta",H288=""),"Falta el espacio libre de salida",IF(AND(D288="Tarjeta",I288&lt;&gt;"",L288&lt;&gt;"Sí"),"Descarga pendiente",IF(AND(D288="Tarjeta",L288="Sí",N288&lt;&gt;"Sí"),"Verificación pendiente",IF(AND(D288="Tarjeta",N288="Sí",O288&lt;&gt;"Sí"),"Borrado pendiente",IF(Q288&lt;&gt;"","Revisar incidencia","Correcto"))))))))))))))</f>
        <v/>
      </c>
      <c r="T288" s="20" t="n"/>
    </row>
    <row r="289" ht="22" customHeight="1">
      <c r="A289" s="20" t="n"/>
      <c r="B289" s="20" t="n"/>
      <c r="C289" s="20" t="n"/>
      <c r="D289" s="23">
        <f>IF(C289="","",IFERROR(_xlfn.XLOOKUP(C289,tblInventario[ID del soporte],tblInventario[Tipo],""),""))</f>
        <v/>
      </c>
      <c r="E289" s="20" t="n"/>
      <c r="F289" s="22" t="n"/>
      <c r="G289" s="20" t="n"/>
      <c r="H289" s="21" t="n"/>
      <c r="I289" s="22" t="n"/>
      <c r="J289" s="20" t="n"/>
      <c r="K289" s="21" t="n"/>
      <c r="L289" s="20" t="n"/>
      <c r="M289" s="22" t="n"/>
      <c r="N289" s="20" t="n"/>
      <c r="O289" s="20" t="n"/>
      <c r="P289" s="22" t="n"/>
      <c r="Q289" s="26" t="n"/>
      <c r="R289" s="23">
        <f>IF(A289="","",IF(I289="","Abierto",IF(D289="Tarjeta",IF(OR(L289&lt;&gt;"Sí",N289&lt;&gt;"Sí",O289&lt;&gt;"Sí"),"Pendiente","Cerrado"),IF(D289="Batería","Cerrado","Revisar"))))</f>
        <v/>
      </c>
      <c r="S289" s="25">
        <f>IF(A289="","",IF(B289="","Falta la sesión",IF(C289="","Falta el soporte",IF(D289="","Soporte no encontrado",IF(COUNTIFS(tblControl[ID del soporte],C289,tblControl[Estado del control],"Abierto")&gt;1,"Soporte asignado más de una vez",IF(F289="","Falta la fecha de salida",IF(AND(I289&lt;&gt;"",I289&lt;F289),"La devolución es anterior a la salida",IF(AND(D289="Batería",G289=""),"Falta la carga de salida",IF(AND(D289="Batería",G289&lt;Resumen!$C$3),"Carga de salida inferior al mínimo",IF(AND(D289="Tarjeta",H289=""),"Falta el espacio libre de salida",IF(AND(D289="Tarjeta",I289&lt;&gt;"",L289&lt;&gt;"Sí"),"Descarga pendiente",IF(AND(D289="Tarjeta",L289="Sí",N289&lt;&gt;"Sí"),"Verificación pendiente",IF(AND(D289="Tarjeta",N289="Sí",O289&lt;&gt;"Sí"),"Borrado pendiente",IF(Q289&lt;&gt;"","Revisar incidencia","Correcto"))))))))))))))</f>
        <v/>
      </c>
      <c r="T289" s="20" t="n"/>
    </row>
    <row r="290" ht="22" customHeight="1">
      <c r="A290" s="20" t="n"/>
      <c r="B290" s="20" t="n"/>
      <c r="C290" s="20" t="n"/>
      <c r="D290" s="23">
        <f>IF(C290="","",IFERROR(_xlfn.XLOOKUP(C290,tblInventario[ID del soporte],tblInventario[Tipo],""),""))</f>
        <v/>
      </c>
      <c r="E290" s="20" t="n"/>
      <c r="F290" s="22" t="n"/>
      <c r="G290" s="20" t="n"/>
      <c r="H290" s="21" t="n"/>
      <c r="I290" s="22" t="n"/>
      <c r="J290" s="20" t="n"/>
      <c r="K290" s="21" t="n"/>
      <c r="L290" s="20" t="n"/>
      <c r="M290" s="22" t="n"/>
      <c r="N290" s="20" t="n"/>
      <c r="O290" s="20" t="n"/>
      <c r="P290" s="22" t="n"/>
      <c r="Q290" s="26" t="n"/>
      <c r="R290" s="23">
        <f>IF(A290="","",IF(I290="","Abierto",IF(D290="Tarjeta",IF(OR(L290&lt;&gt;"Sí",N290&lt;&gt;"Sí",O290&lt;&gt;"Sí"),"Pendiente","Cerrado"),IF(D290="Batería","Cerrado","Revisar"))))</f>
        <v/>
      </c>
      <c r="S290" s="25">
        <f>IF(A290="","",IF(B290="","Falta la sesión",IF(C290="","Falta el soporte",IF(D290="","Soporte no encontrado",IF(COUNTIFS(tblControl[ID del soporte],C290,tblControl[Estado del control],"Abierto")&gt;1,"Soporte asignado más de una vez",IF(F290="","Falta la fecha de salida",IF(AND(I290&lt;&gt;"",I290&lt;F290),"La devolución es anterior a la salida",IF(AND(D290="Batería",G290=""),"Falta la carga de salida",IF(AND(D290="Batería",G290&lt;Resumen!$C$3),"Carga de salida inferior al mínimo",IF(AND(D290="Tarjeta",H290=""),"Falta el espacio libre de salida",IF(AND(D290="Tarjeta",I290&lt;&gt;"",L290&lt;&gt;"Sí"),"Descarga pendiente",IF(AND(D290="Tarjeta",L290="Sí",N290&lt;&gt;"Sí"),"Verificación pendiente",IF(AND(D290="Tarjeta",N290="Sí",O290&lt;&gt;"Sí"),"Borrado pendiente",IF(Q290&lt;&gt;"","Revisar incidencia","Correcto"))))))))))))))</f>
        <v/>
      </c>
      <c r="T290" s="20" t="n"/>
    </row>
    <row r="291" ht="22" customHeight="1">
      <c r="A291" s="20" t="n"/>
      <c r="B291" s="20" t="n"/>
      <c r="C291" s="20" t="n"/>
      <c r="D291" s="23">
        <f>IF(C291="","",IFERROR(_xlfn.XLOOKUP(C291,tblInventario[ID del soporte],tblInventario[Tipo],""),""))</f>
        <v/>
      </c>
      <c r="E291" s="20" t="n"/>
      <c r="F291" s="22" t="n"/>
      <c r="G291" s="20" t="n"/>
      <c r="H291" s="21" t="n"/>
      <c r="I291" s="22" t="n"/>
      <c r="J291" s="20" t="n"/>
      <c r="K291" s="21" t="n"/>
      <c r="L291" s="20" t="n"/>
      <c r="M291" s="22" t="n"/>
      <c r="N291" s="20" t="n"/>
      <c r="O291" s="20" t="n"/>
      <c r="P291" s="22" t="n"/>
      <c r="Q291" s="26" t="n"/>
      <c r="R291" s="23">
        <f>IF(A291="","",IF(I291="","Abierto",IF(D291="Tarjeta",IF(OR(L291&lt;&gt;"Sí",N291&lt;&gt;"Sí",O291&lt;&gt;"Sí"),"Pendiente","Cerrado"),IF(D291="Batería","Cerrado","Revisar"))))</f>
        <v/>
      </c>
      <c r="S291" s="25">
        <f>IF(A291="","",IF(B291="","Falta la sesión",IF(C291="","Falta el soporte",IF(D291="","Soporte no encontrado",IF(COUNTIFS(tblControl[ID del soporte],C291,tblControl[Estado del control],"Abierto")&gt;1,"Soporte asignado más de una vez",IF(F291="","Falta la fecha de salida",IF(AND(I291&lt;&gt;"",I291&lt;F291),"La devolución es anterior a la salida",IF(AND(D291="Batería",G291=""),"Falta la carga de salida",IF(AND(D291="Batería",G291&lt;Resumen!$C$3),"Carga de salida inferior al mínimo",IF(AND(D291="Tarjeta",H291=""),"Falta el espacio libre de salida",IF(AND(D291="Tarjeta",I291&lt;&gt;"",L291&lt;&gt;"Sí"),"Descarga pendiente",IF(AND(D291="Tarjeta",L291="Sí",N291&lt;&gt;"Sí"),"Verificación pendiente",IF(AND(D291="Tarjeta",N291="Sí",O291&lt;&gt;"Sí"),"Borrado pendiente",IF(Q291&lt;&gt;"","Revisar incidencia","Correcto"))))))))))))))</f>
        <v/>
      </c>
      <c r="T291" s="20" t="n"/>
    </row>
    <row r="292" ht="22" customHeight="1">
      <c r="A292" s="20" t="n"/>
      <c r="B292" s="20" t="n"/>
      <c r="C292" s="20" t="n"/>
      <c r="D292" s="23">
        <f>IF(C292="","",IFERROR(_xlfn.XLOOKUP(C292,tblInventario[ID del soporte],tblInventario[Tipo],""),""))</f>
        <v/>
      </c>
      <c r="E292" s="20" t="n"/>
      <c r="F292" s="22" t="n"/>
      <c r="G292" s="20" t="n"/>
      <c r="H292" s="21" t="n"/>
      <c r="I292" s="22" t="n"/>
      <c r="J292" s="20" t="n"/>
      <c r="K292" s="21" t="n"/>
      <c r="L292" s="20" t="n"/>
      <c r="M292" s="22" t="n"/>
      <c r="N292" s="20" t="n"/>
      <c r="O292" s="20" t="n"/>
      <c r="P292" s="22" t="n"/>
      <c r="Q292" s="26" t="n"/>
      <c r="R292" s="23">
        <f>IF(A292="","",IF(I292="","Abierto",IF(D292="Tarjeta",IF(OR(L292&lt;&gt;"Sí",N292&lt;&gt;"Sí",O292&lt;&gt;"Sí"),"Pendiente","Cerrado"),IF(D292="Batería","Cerrado","Revisar"))))</f>
        <v/>
      </c>
      <c r="S292" s="25">
        <f>IF(A292="","",IF(B292="","Falta la sesión",IF(C292="","Falta el soporte",IF(D292="","Soporte no encontrado",IF(COUNTIFS(tblControl[ID del soporte],C292,tblControl[Estado del control],"Abierto")&gt;1,"Soporte asignado más de una vez",IF(F292="","Falta la fecha de salida",IF(AND(I292&lt;&gt;"",I292&lt;F292),"La devolución es anterior a la salida",IF(AND(D292="Batería",G292=""),"Falta la carga de salida",IF(AND(D292="Batería",G292&lt;Resumen!$C$3),"Carga de salida inferior al mínimo",IF(AND(D292="Tarjeta",H292=""),"Falta el espacio libre de salida",IF(AND(D292="Tarjeta",I292&lt;&gt;"",L292&lt;&gt;"Sí"),"Descarga pendiente",IF(AND(D292="Tarjeta",L292="Sí",N292&lt;&gt;"Sí"),"Verificación pendiente",IF(AND(D292="Tarjeta",N292="Sí",O292&lt;&gt;"Sí"),"Borrado pendiente",IF(Q292&lt;&gt;"","Revisar incidencia","Correcto"))))))))))))))</f>
        <v/>
      </c>
      <c r="T292" s="20" t="n"/>
    </row>
    <row r="293" ht="22" customHeight="1">
      <c r="A293" s="20" t="n"/>
      <c r="B293" s="20" t="n"/>
      <c r="C293" s="20" t="n"/>
      <c r="D293" s="23">
        <f>IF(C293="","",IFERROR(_xlfn.XLOOKUP(C293,tblInventario[ID del soporte],tblInventario[Tipo],""),""))</f>
        <v/>
      </c>
      <c r="E293" s="20" t="n"/>
      <c r="F293" s="22" t="n"/>
      <c r="G293" s="20" t="n"/>
      <c r="H293" s="21" t="n"/>
      <c r="I293" s="22" t="n"/>
      <c r="J293" s="20" t="n"/>
      <c r="K293" s="21" t="n"/>
      <c r="L293" s="20" t="n"/>
      <c r="M293" s="22" t="n"/>
      <c r="N293" s="20" t="n"/>
      <c r="O293" s="20" t="n"/>
      <c r="P293" s="22" t="n"/>
      <c r="Q293" s="26" t="n"/>
      <c r="R293" s="23">
        <f>IF(A293="","",IF(I293="","Abierto",IF(D293="Tarjeta",IF(OR(L293&lt;&gt;"Sí",N293&lt;&gt;"Sí",O293&lt;&gt;"Sí"),"Pendiente","Cerrado"),IF(D293="Batería","Cerrado","Revisar"))))</f>
        <v/>
      </c>
      <c r="S293" s="25">
        <f>IF(A293="","",IF(B293="","Falta la sesión",IF(C293="","Falta el soporte",IF(D293="","Soporte no encontrado",IF(COUNTIFS(tblControl[ID del soporte],C293,tblControl[Estado del control],"Abierto")&gt;1,"Soporte asignado más de una vez",IF(F293="","Falta la fecha de salida",IF(AND(I293&lt;&gt;"",I293&lt;F293),"La devolución es anterior a la salida",IF(AND(D293="Batería",G293=""),"Falta la carga de salida",IF(AND(D293="Batería",G293&lt;Resumen!$C$3),"Carga de salida inferior al mínimo",IF(AND(D293="Tarjeta",H293=""),"Falta el espacio libre de salida",IF(AND(D293="Tarjeta",I293&lt;&gt;"",L293&lt;&gt;"Sí"),"Descarga pendiente",IF(AND(D293="Tarjeta",L293="Sí",N293&lt;&gt;"Sí"),"Verificación pendiente",IF(AND(D293="Tarjeta",N293="Sí",O293&lt;&gt;"Sí"),"Borrado pendiente",IF(Q293&lt;&gt;"","Revisar incidencia","Correcto"))))))))))))))</f>
        <v/>
      </c>
      <c r="T293" s="20" t="n"/>
    </row>
    <row r="294" ht="22" customHeight="1">
      <c r="A294" s="20" t="n"/>
      <c r="B294" s="20" t="n"/>
      <c r="C294" s="20" t="n"/>
      <c r="D294" s="23">
        <f>IF(C294="","",IFERROR(_xlfn.XLOOKUP(C294,tblInventario[ID del soporte],tblInventario[Tipo],""),""))</f>
        <v/>
      </c>
      <c r="E294" s="20" t="n"/>
      <c r="F294" s="22" t="n"/>
      <c r="G294" s="20" t="n"/>
      <c r="H294" s="21" t="n"/>
      <c r="I294" s="22" t="n"/>
      <c r="J294" s="20" t="n"/>
      <c r="K294" s="21" t="n"/>
      <c r="L294" s="20" t="n"/>
      <c r="M294" s="22" t="n"/>
      <c r="N294" s="20" t="n"/>
      <c r="O294" s="20" t="n"/>
      <c r="P294" s="22" t="n"/>
      <c r="Q294" s="26" t="n"/>
      <c r="R294" s="23">
        <f>IF(A294="","",IF(I294="","Abierto",IF(D294="Tarjeta",IF(OR(L294&lt;&gt;"Sí",N294&lt;&gt;"Sí",O294&lt;&gt;"Sí"),"Pendiente","Cerrado"),IF(D294="Batería","Cerrado","Revisar"))))</f>
        <v/>
      </c>
      <c r="S294" s="25">
        <f>IF(A294="","",IF(B294="","Falta la sesión",IF(C294="","Falta el soporte",IF(D294="","Soporte no encontrado",IF(COUNTIFS(tblControl[ID del soporte],C294,tblControl[Estado del control],"Abierto")&gt;1,"Soporte asignado más de una vez",IF(F294="","Falta la fecha de salida",IF(AND(I294&lt;&gt;"",I294&lt;F294),"La devolución es anterior a la salida",IF(AND(D294="Batería",G294=""),"Falta la carga de salida",IF(AND(D294="Batería",G294&lt;Resumen!$C$3),"Carga de salida inferior al mínimo",IF(AND(D294="Tarjeta",H294=""),"Falta el espacio libre de salida",IF(AND(D294="Tarjeta",I294&lt;&gt;"",L294&lt;&gt;"Sí"),"Descarga pendiente",IF(AND(D294="Tarjeta",L294="Sí",N294&lt;&gt;"Sí"),"Verificación pendiente",IF(AND(D294="Tarjeta",N294="Sí",O294&lt;&gt;"Sí"),"Borrado pendiente",IF(Q294&lt;&gt;"","Revisar incidencia","Correcto"))))))))))))))</f>
        <v/>
      </c>
      <c r="T294" s="20" t="n"/>
    </row>
    <row r="295" ht="22" customHeight="1">
      <c r="A295" s="20" t="n"/>
      <c r="B295" s="20" t="n"/>
      <c r="C295" s="20" t="n"/>
      <c r="D295" s="23">
        <f>IF(C295="","",IFERROR(_xlfn.XLOOKUP(C295,tblInventario[ID del soporte],tblInventario[Tipo],""),""))</f>
        <v/>
      </c>
      <c r="E295" s="20" t="n"/>
      <c r="F295" s="22" t="n"/>
      <c r="G295" s="20" t="n"/>
      <c r="H295" s="21" t="n"/>
      <c r="I295" s="22" t="n"/>
      <c r="J295" s="20" t="n"/>
      <c r="K295" s="21" t="n"/>
      <c r="L295" s="20" t="n"/>
      <c r="M295" s="22" t="n"/>
      <c r="N295" s="20" t="n"/>
      <c r="O295" s="20" t="n"/>
      <c r="P295" s="22" t="n"/>
      <c r="Q295" s="26" t="n"/>
      <c r="R295" s="23">
        <f>IF(A295="","",IF(I295="","Abierto",IF(D295="Tarjeta",IF(OR(L295&lt;&gt;"Sí",N295&lt;&gt;"Sí",O295&lt;&gt;"Sí"),"Pendiente","Cerrado"),IF(D295="Batería","Cerrado","Revisar"))))</f>
        <v/>
      </c>
      <c r="S295" s="25">
        <f>IF(A295="","",IF(B295="","Falta la sesión",IF(C295="","Falta el soporte",IF(D295="","Soporte no encontrado",IF(COUNTIFS(tblControl[ID del soporte],C295,tblControl[Estado del control],"Abierto")&gt;1,"Soporte asignado más de una vez",IF(F295="","Falta la fecha de salida",IF(AND(I295&lt;&gt;"",I295&lt;F295),"La devolución es anterior a la salida",IF(AND(D295="Batería",G295=""),"Falta la carga de salida",IF(AND(D295="Batería",G295&lt;Resumen!$C$3),"Carga de salida inferior al mínimo",IF(AND(D295="Tarjeta",H295=""),"Falta el espacio libre de salida",IF(AND(D295="Tarjeta",I295&lt;&gt;"",L295&lt;&gt;"Sí"),"Descarga pendiente",IF(AND(D295="Tarjeta",L295="Sí",N295&lt;&gt;"Sí"),"Verificación pendiente",IF(AND(D295="Tarjeta",N295="Sí",O295&lt;&gt;"Sí"),"Borrado pendiente",IF(Q295&lt;&gt;"","Revisar incidencia","Correcto"))))))))))))))</f>
        <v/>
      </c>
      <c r="T295" s="20" t="n"/>
    </row>
    <row r="296" ht="22" customHeight="1">
      <c r="A296" s="20" t="n"/>
      <c r="B296" s="20" t="n"/>
      <c r="C296" s="20" t="n"/>
      <c r="D296" s="23">
        <f>IF(C296="","",IFERROR(_xlfn.XLOOKUP(C296,tblInventario[ID del soporte],tblInventario[Tipo],""),""))</f>
        <v/>
      </c>
      <c r="E296" s="20" t="n"/>
      <c r="F296" s="22" t="n"/>
      <c r="G296" s="20" t="n"/>
      <c r="H296" s="21" t="n"/>
      <c r="I296" s="22" t="n"/>
      <c r="J296" s="20" t="n"/>
      <c r="K296" s="21" t="n"/>
      <c r="L296" s="20" t="n"/>
      <c r="M296" s="22" t="n"/>
      <c r="N296" s="20" t="n"/>
      <c r="O296" s="20" t="n"/>
      <c r="P296" s="22" t="n"/>
      <c r="Q296" s="26" t="n"/>
      <c r="R296" s="23">
        <f>IF(A296="","",IF(I296="","Abierto",IF(D296="Tarjeta",IF(OR(L296&lt;&gt;"Sí",N296&lt;&gt;"Sí",O296&lt;&gt;"Sí"),"Pendiente","Cerrado"),IF(D296="Batería","Cerrado","Revisar"))))</f>
        <v/>
      </c>
      <c r="S296" s="25">
        <f>IF(A296="","",IF(B296="","Falta la sesión",IF(C296="","Falta el soporte",IF(D296="","Soporte no encontrado",IF(COUNTIFS(tblControl[ID del soporte],C296,tblControl[Estado del control],"Abierto")&gt;1,"Soporte asignado más de una vez",IF(F296="","Falta la fecha de salida",IF(AND(I296&lt;&gt;"",I296&lt;F296),"La devolución es anterior a la salida",IF(AND(D296="Batería",G296=""),"Falta la carga de salida",IF(AND(D296="Batería",G296&lt;Resumen!$C$3),"Carga de salida inferior al mínimo",IF(AND(D296="Tarjeta",H296=""),"Falta el espacio libre de salida",IF(AND(D296="Tarjeta",I296&lt;&gt;"",L296&lt;&gt;"Sí"),"Descarga pendiente",IF(AND(D296="Tarjeta",L296="Sí",N296&lt;&gt;"Sí"),"Verificación pendiente",IF(AND(D296="Tarjeta",N296="Sí",O296&lt;&gt;"Sí"),"Borrado pendiente",IF(Q296&lt;&gt;"","Revisar incidencia","Correcto"))))))))))))))</f>
        <v/>
      </c>
      <c r="T296" s="20" t="n"/>
    </row>
    <row r="297" ht="22" customHeight="1">
      <c r="A297" s="20" t="n"/>
      <c r="B297" s="20" t="n"/>
      <c r="C297" s="20" t="n"/>
      <c r="D297" s="23">
        <f>IF(C297="","",IFERROR(_xlfn.XLOOKUP(C297,tblInventario[ID del soporte],tblInventario[Tipo],""),""))</f>
        <v/>
      </c>
      <c r="E297" s="20" t="n"/>
      <c r="F297" s="22" t="n"/>
      <c r="G297" s="20" t="n"/>
      <c r="H297" s="21" t="n"/>
      <c r="I297" s="22" t="n"/>
      <c r="J297" s="20" t="n"/>
      <c r="K297" s="21" t="n"/>
      <c r="L297" s="20" t="n"/>
      <c r="M297" s="22" t="n"/>
      <c r="N297" s="20" t="n"/>
      <c r="O297" s="20" t="n"/>
      <c r="P297" s="22" t="n"/>
      <c r="Q297" s="26" t="n"/>
      <c r="R297" s="23">
        <f>IF(A297="","",IF(I297="","Abierto",IF(D297="Tarjeta",IF(OR(L297&lt;&gt;"Sí",N297&lt;&gt;"Sí",O297&lt;&gt;"Sí"),"Pendiente","Cerrado"),IF(D297="Batería","Cerrado","Revisar"))))</f>
        <v/>
      </c>
      <c r="S297" s="25">
        <f>IF(A297="","",IF(B297="","Falta la sesión",IF(C297="","Falta el soporte",IF(D297="","Soporte no encontrado",IF(COUNTIFS(tblControl[ID del soporte],C297,tblControl[Estado del control],"Abierto")&gt;1,"Soporte asignado más de una vez",IF(F297="","Falta la fecha de salida",IF(AND(I297&lt;&gt;"",I297&lt;F297),"La devolución es anterior a la salida",IF(AND(D297="Batería",G297=""),"Falta la carga de salida",IF(AND(D297="Batería",G297&lt;Resumen!$C$3),"Carga de salida inferior al mínimo",IF(AND(D297="Tarjeta",H297=""),"Falta el espacio libre de salida",IF(AND(D297="Tarjeta",I297&lt;&gt;"",L297&lt;&gt;"Sí"),"Descarga pendiente",IF(AND(D297="Tarjeta",L297="Sí",N297&lt;&gt;"Sí"),"Verificación pendiente",IF(AND(D297="Tarjeta",N297="Sí",O297&lt;&gt;"Sí"),"Borrado pendiente",IF(Q297&lt;&gt;"","Revisar incidencia","Correcto"))))))))))))))</f>
        <v/>
      </c>
      <c r="T297" s="20" t="n"/>
    </row>
    <row r="298" ht="22" customHeight="1">
      <c r="A298" s="20" t="n"/>
      <c r="B298" s="20" t="n"/>
      <c r="C298" s="20" t="n"/>
      <c r="D298" s="23">
        <f>IF(C298="","",IFERROR(_xlfn.XLOOKUP(C298,tblInventario[ID del soporte],tblInventario[Tipo],""),""))</f>
        <v/>
      </c>
      <c r="E298" s="20" t="n"/>
      <c r="F298" s="22" t="n"/>
      <c r="G298" s="20" t="n"/>
      <c r="H298" s="21" t="n"/>
      <c r="I298" s="22" t="n"/>
      <c r="J298" s="20" t="n"/>
      <c r="K298" s="21" t="n"/>
      <c r="L298" s="20" t="n"/>
      <c r="M298" s="22" t="n"/>
      <c r="N298" s="20" t="n"/>
      <c r="O298" s="20" t="n"/>
      <c r="P298" s="22" t="n"/>
      <c r="Q298" s="26" t="n"/>
      <c r="R298" s="23">
        <f>IF(A298="","",IF(I298="","Abierto",IF(D298="Tarjeta",IF(OR(L298&lt;&gt;"Sí",N298&lt;&gt;"Sí",O298&lt;&gt;"Sí"),"Pendiente","Cerrado"),IF(D298="Batería","Cerrado","Revisar"))))</f>
        <v/>
      </c>
      <c r="S298" s="25">
        <f>IF(A298="","",IF(B298="","Falta la sesión",IF(C298="","Falta el soporte",IF(D298="","Soporte no encontrado",IF(COUNTIFS(tblControl[ID del soporte],C298,tblControl[Estado del control],"Abierto")&gt;1,"Soporte asignado más de una vez",IF(F298="","Falta la fecha de salida",IF(AND(I298&lt;&gt;"",I298&lt;F298),"La devolución es anterior a la salida",IF(AND(D298="Batería",G298=""),"Falta la carga de salida",IF(AND(D298="Batería",G298&lt;Resumen!$C$3),"Carga de salida inferior al mínimo",IF(AND(D298="Tarjeta",H298=""),"Falta el espacio libre de salida",IF(AND(D298="Tarjeta",I298&lt;&gt;"",L298&lt;&gt;"Sí"),"Descarga pendiente",IF(AND(D298="Tarjeta",L298="Sí",N298&lt;&gt;"Sí"),"Verificación pendiente",IF(AND(D298="Tarjeta",N298="Sí",O298&lt;&gt;"Sí"),"Borrado pendiente",IF(Q298&lt;&gt;"","Revisar incidencia","Correcto"))))))))))))))</f>
        <v/>
      </c>
      <c r="T298" s="20" t="n"/>
    </row>
    <row r="299" ht="22" customHeight="1">
      <c r="A299" s="20" t="n"/>
      <c r="B299" s="20" t="n"/>
      <c r="C299" s="20" t="n"/>
      <c r="D299" s="23">
        <f>IF(C299="","",IFERROR(_xlfn.XLOOKUP(C299,tblInventario[ID del soporte],tblInventario[Tipo],""),""))</f>
        <v/>
      </c>
      <c r="E299" s="20" t="n"/>
      <c r="F299" s="22" t="n"/>
      <c r="G299" s="20" t="n"/>
      <c r="H299" s="21" t="n"/>
      <c r="I299" s="22" t="n"/>
      <c r="J299" s="20" t="n"/>
      <c r="K299" s="21" t="n"/>
      <c r="L299" s="20" t="n"/>
      <c r="M299" s="22" t="n"/>
      <c r="N299" s="20" t="n"/>
      <c r="O299" s="20" t="n"/>
      <c r="P299" s="22" t="n"/>
      <c r="Q299" s="26" t="n"/>
      <c r="R299" s="23">
        <f>IF(A299="","",IF(I299="","Abierto",IF(D299="Tarjeta",IF(OR(L299&lt;&gt;"Sí",N299&lt;&gt;"Sí",O299&lt;&gt;"Sí"),"Pendiente","Cerrado"),IF(D299="Batería","Cerrado","Revisar"))))</f>
        <v/>
      </c>
      <c r="S299" s="25">
        <f>IF(A299="","",IF(B299="","Falta la sesión",IF(C299="","Falta el soporte",IF(D299="","Soporte no encontrado",IF(COUNTIFS(tblControl[ID del soporte],C299,tblControl[Estado del control],"Abierto")&gt;1,"Soporte asignado más de una vez",IF(F299="","Falta la fecha de salida",IF(AND(I299&lt;&gt;"",I299&lt;F299),"La devolución es anterior a la salida",IF(AND(D299="Batería",G299=""),"Falta la carga de salida",IF(AND(D299="Batería",G299&lt;Resumen!$C$3),"Carga de salida inferior al mínimo",IF(AND(D299="Tarjeta",H299=""),"Falta el espacio libre de salida",IF(AND(D299="Tarjeta",I299&lt;&gt;"",L299&lt;&gt;"Sí"),"Descarga pendiente",IF(AND(D299="Tarjeta",L299="Sí",N299&lt;&gt;"Sí"),"Verificación pendiente",IF(AND(D299="Tarjeta",N299="Sí",O299&lt;&gt;"Sí"),"Borrado pendiente",IF(Q299&lt;&gt;"","Revisar incidencia","Correcto"))))))))))))))</f>
        <v/>
      </c>
      <c r="T299" s="20" t="n"/>
    </row>
    <row r="300" ht="22" customHeight="1">
      <c r="A300" s="20" t="n"/>
      <c r="B300" s="20" t="n"/>
      <c r="C300" s="20" t="n"/>
      <c r="D300" s="23">
        <f>IF(C300="","",IFERROR(_xlfn.XLOOKUP(C300,tblInventario[ID del soporte],tblInventario[Tipo],""),""))</f>
        <v/>
      </c>
      <c r="E300" s="20" t="n"/>
      <c r="F300" s="22" t="n"/>
      <c r="G300" s="20" t="n"/>
      <c r="H300" s="21" t="n"/>
      <c r="I300" s="22" t="n"/>
      <c r="J300" s="20" t="n"/>
      <c r="K300" s="21" t="n"/>
      <c r="L300" s="20" t="n"/>
      <c r="M300" s="22" t="n"/>
      <c r="N300" s="20" t="n"/>
      <c r="O300" s="20" t="n"/>
      <c r="P300" s="22" t="n"/>
      <c r="Q300" s="26" t="n"/>
      <c r="R300" s="23">
        <f>IF(A300="","",IF(I300="","Abierto",IF(D300="Tarjeta",IF(OR(L300&lt;&gt;"Sí",N300&lt;&gt;"Sí",O300&lt;&gt;"Sí"),"Pendiente","Cerrado"),IF(D300="Batería","Cerrado","Revisar"))))</f>
        <v/>
      </c>
      <c r="S300" s="25">
        <f>IF(A300="","",IF(B300="","Falta la sesión",IF(C300="","Falta el soporte",IF(D300="","Soporte no encontrado",IF(COUNTIFS(tblControl[ID del soporte],C300,tblControl[Estado del control],"Abierto")&gt;1,"Soporte asignado más de una vez",IF(F300="","Falta la fecha de salida",IF(AND(I300&lt;&gt;"",I300&lt;F300),"La devolución es anterior a la salida",IF(AND(D300="Batería",G300=""),"Falta la carga de salida",IF(AND(D300="Batería",G300&lt;Resumen!$C$3),"Carga de salida inferior al mínimo",IF(AND(D300="Tarjeta",H300=""),"Falta el espacio libre de salida",IF(AND(D300="Tarjeta",I300&lt;&gt;"",L300&lt;&gt;"Sí"),"Descarga pendiente",IF(AND(D300="Tarjeta",L300="Sí",N300&lt;&gt;"Sí"),"Verificación pendiente",IF(AND(D300="Tarjeta",N300="Sí",O300&lt;&gt;"Sí"),"Borrado pendiente",IF(Q300&lt;&gt;"","Revisar incidencia","Correcto"))))))))))))))</f>
        <v/>
      </c>
      <c r="T300" s="20" t="n"/>
    </row>
    <row r="301" ht="22" customHeight="1">
      <c r="A301" s="20" t="n"/>
      <c r="B301" s="20" t="n"/>
      <c r="C301" s="20" t="n"/>
      <c r="D301" s="23">
        <f>IF(C301="","",IFERROR(_xlfn.XLOOKUP(C301,tblInventario[ID del soporte],tblInventario[Tipo],""),""))</f>
        <v/>
      </c>
      <c r="E301" s="20" t="n"/>
      <c r="F301" s="22" t="n"/>
      <c r="G301" s="20" t="n"/>
      <c r="H301" s="21" t="n"/>
      <c r="I301" s="22" t="n"/>
      <c r="J301" s="20" t="n"/>
      <c r="K301" s="21" t="n"/>
      <c r="L301" s="20" t="n"/>
      <c r="M301" s="22" t="n"/>
      <c r="N301" s="20" t="n"/>
      <c r="O301" s="20" t="n"/>
      <c r="P301" s="22" t="n"/>
      <c r="Q301" s="26" t="n"/>
      <c r="R301" s="23">
        <f>IF(A301="","",IF(I301="","Abierto",IF(D301="Tarjeta",IF(OR(L301&lt;&gt;"Sí",N301&lt;&gt;"Sí",O301&lt;&gt;"Sí"),"Pendiente","Cerrado"),IF(D301="Batería","Cerrado","Revisar"))))</f>
        <v/>
      </c>
      <c r="S301" s="25">
        <f>IF(A301="","",IF(B301="","Falta la sesión",IF(C301="","Falta el soporte",IF(D301="","Soporte no encontrado",IF(COUNTIFS(tblControl[ID del soporte],C301,tblControl[Estado del control],"Abierto")&gt;1,"Soporte asignado más de una vez",IF(F301="","Falta la fecha de salida",IF(AND(I301&lt;&gt;"",I301&lt;F301),"La devolución es anterior a la salida",IF(AND(D301="Batería",G301=""),"Falta la carga de salida",IF(AND(D301="Batería",G301&lt;Resumen!$C$3),"Carga de salida inferior al mínimo",IF(AND(D301="Tarjeta",H301=""),"Falta el espacio libre de salida",IF(AND(D301="Tarjeta",I301&lt;&gt;"",L301&lt;&gt;"Sí"),"Descarga pendiente",IF(AND(D301="Tarjeta",L301="Sí",N301&lt;&gt;"Sí"),"Verificación pendiente",IF(AND(D301="Tarjeta",N301="Sí",O301&lt;&gt;"Sí"),"Borrado pendiente",IF(Q301&lt;&gt;"","Revisar incidencia","Correcto"))))))))))))))</f>
        <v/>
      </c>
      <c r="T301" s="20" t="n"/>
    </row>
  </sheetData>
  <conditionalFormatting sqref="A2:T301">
    <cfRule type="expression" priority="1" dxfId="5">
      <formula>$R2="Abierto"</formula>
    </cfRule>
    <cfRule type="expression" priority="2" dxfId="2">
      <formula>$R2="Pendiente"</formula>
    </cfRule>
    <cfRule type="expression" priority="3" dxfId="7">
      <formula>$R2="Cerrado"</formula>
    </cfRule>
    <cfRule type="expression" priority="4" dxfId="4">
      <formula>$R2="Revisar"</formula>
    </cfRule>
  </conditionalFormatting>
  <conditionalFormatting sqref="S2:S301">
    <cfRule type="expression" priority="5" dxfId="0">
      <formula>$S2="Correcto"</formula>
    </cfRule>
    <cfRule type="expression" priority="6" dxfId="2">
      <formula>AND($S2&lt;&gt;"",$S2&lt;&gt;"Correcto")</formula>
    </cfRule>
    <cfRule type="expression" priority="7" dxfId="1">
      <formula>OR($S2="Soporte asignado más de una vez",$S2="Soporte no encontrado",$S2="La devolución es anterior a la salida")</formula>
    </cfRule>
  </conditionalFormatting>
  <conditionalFormatting sqref="Q2:Q301">
    <cfRule type="expression" priority="8" dxfId="1">
      <formula>$Q2&lt;&gt;""</formula>
    </cfRule>
  </conditionalFormatting>
  <conditionalFormatting sqref="A2:A301">
    <cfRule type="expression" priority="9" dxfId="1">
      <formula>AND($A2&lt;&gt;"",COUNTIF($A$2:$A$301,$A2)&gt;1)</formula>
    </cfRule>
  </conditionalFormatting>
  <dataValidations count="13">
    <dataValidation sqref="B2:B301" showDropDown="0" showInputMessage="1" showErrorMessage="1" allowBlank="0" errorTitle="Valor no válido" error="Seleccione una sesión registrada." promptTitle="Entrada" prompt="Seleccione o introduzca un valor válido." type="list">
      <formula1>=INDIRECT("'Sesiones'!$A$2:$A$101")</formula1>
    </dataValidation>
    <dataValidation sqref="C2:C301" showDropDown="0" showInputMessage="1" showErrorMessage="1" allowBlank="0" errorTitle="Valor no válido" error="Seleccione un soporte registrado." promptTitle="Entrada" prompt="Seleccione o introduzca un valor válido." type="list">
      <formula1>=INDIRECT("'Inventario'!$A$2:$A$151")</formula1>
    </dataValidation>
    <dataValidation sqref="L2:L301" showDropDown="0" showInputMessage="1" showErrorMessage="1" allowBlank="0" errorTitle="Valor no válido" error="Seleccione Sí, No o No procede." promptTitle="Entrada" prompt="Seleccione o introduzca un valor válido." type="list">
      <formula1>='Instrucciones'!$L$4:$L$6</formula1>
    </dataValidation>
    <dataValidation sqref="N2:N301" showDropDown="0" showInputMessage="1" showErrorMessage="1" allowBlank="0" errorTitle="Valor no válido" error="Seleccione Sí, No o No procede." promptTitle="Entrada" prompt="Seleccione o introduzca un valor válido." type="list">
      <formula1>='Instrucciones'!$L$4:$L$6</formula1>
    </dataValidation>
    <dataValidation sqref="O2:O301" showDropDown="0" showInputMessage="1" showErrorMessage="1" allowBlank="0" errorTitle="Valor no válido" error="Seleccione Sí, No o No procede." promptTitle="Entrada" prompt="Seleccione o introduzca un valor válido." type="list">
      <formula1>='Instrucciones'!$L$4:$L$6</formula1>
    </dataValidation>
    <dataValidation sqref="F2:F301" showDropDown="0" showInputMessage="1" showErrorMessage="1" allowBlank="0" errorTitle="Valor no válido" error="Introduzca una fecha válida." promptTitle="Entrada" prompt="Seleccione o introduzca un valor válido." type="date">
      <formula1>DATE(2020,1,1)</formula1>
      <formula2>DATE(2100,12,31)</formula2>
    </dataValidation>
    <dataValidation sqref="I2:I301" showDropDown="0" showInputMessage="1" showErrorMessage="1" allowBlank="0" errorTitle="Valor no válido" error="La devolución no puede ser anterior a la salida." promptTitle="Entrada" prompt="Seleccione o introduzca un valor válido." type="custom">
      <formula1>=OR($I2="",AND($I2&gt;=DATE(2020,1,1),$I2&lt;=DATE(2100,12,31),$I2&gt;=$F2))</formula1>
    </dataValidation>
    <dataValidation sqref="M2:M301" showDropDown="0" showInputMessage="1" showErrorMessage="1" allowBlank="0" errorTitle="Valor no válido" error="La descarga debe corresponder a una tarjeta y no ser anterior a la devolución." promptTitle="Entrada" prompt="Seleccione o introduzca un valor válido." type="custom">
      <formula1>=OR($M2="",AND($D2="Tarjeta",$I2&lt;&gt;"",$M2&gt;=$I2))</formula1>
    </dataValidation>
    <dataValidation sqref="P2:P301" showDropDown="0" showInputMessage="1" showErrorMessage="1" allowBlank="0" errorTitle="Valor no válido" error="El borrado debe corresponder a una tarjeta y no ser anterior a la descarga." promptTitle="Entrada" prompt="Seleccione o introduzca un valor válido." type="custom">
      <formula1>=OR($P2="",AND($D2="Tarjeta",$M2&lt;&gt;"",$P2&gt;=$M2))</formula1>
    </dataValidation>
    <dataValidation sqref="G2:G301" showDropDown="0" showInputMessage="1" showErrorMessage="1" allowBlank="0" errorTitle="Valor no válido" error="Este campo no corresponde al tipo de soporte seleccionado." promptTitle="Entrada" prompt="Seleccione o introduzca un valor válido." type="custom">
      <formula1>=OR($A2="",AND($D2="Batería",ISNUMBER($G2),$G2&gt;=0,$G2&lt;=100),AND($D2="Tarjeta",$G2=""))</formula1>
    </dataValidation>
    <dataValidation sqref="H2:H301" showDropDown="0" showInputMessage="1" showErrorMessage="1" allowBlank="0" errorTitle="Valor no válido" error="Este campo no corresponde al tipo de soporte seleccionado." promptTitle="Entrada" prompt="Seleccione o introduzca un valor válido." type="custom">
      <formula1>=OR($A2="",AND($D2="Tarjeta",ISNUMBER($H2),$H2&gt;=0,$H2&lt;=10000),AND($D2="Batería",$H2=""))</formula1>
    </dataValidation>
    <dataValidation sqref="J2:J301" showDropDown="0" showInputMessage="1" showErrorMessage="1" allowBlank="0" errorTitle="Valor no válido" error="Este campo solo corresponde a baterías." promptTitle="Entrada" prompt="Seleccione o introduzca un valor válido." type="custom">
      <formula1>=OR($J2="",AND($D2="Batería",ISNUMBER($J2),$J2&gt;=0,$J2&lt;=100))</formula1>
    </dataValidation>
    <dataValidation sqref="K2:K301" showDropDown="0" showInputMessage="1" showErrorMessage="1" allowBlank="0" errorTitle="Valor no válido" error="Este campo solo corresponde a tarjetas." promptTitle="Entrada" prompt="Seleccione o introduzca un valor válido." type="custom">
      <formula1>=OR($K2="",AND($D2="Tarjeta",ISNUMBER($K2),$K2&gt;=0,$K2&lt;=10000))</formula1>
    </dataValidation>
  </dataValidation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32"/>
  <sheetViews>
    <sheetView showGridLines="0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0" customWidth="1" min="2" max="2"/>
    <col width="14" customWidth="1" min="3" max="3"/>
    <col width="14" customWidth="1" min="4" max="4"/>
    <col width="14" customWidth="1" min="5" max="5"/>
    <col width="14" customWidth="1" min="6" max="6"/>
    <col width="3" customWidth="1" min="7" max="7"/>
    <col width="39" customWidth="1" min="8" max="8"/>
    <col width="18" customWidth="1" min="9" max="9"/>
    <col width="20" customWidth="1" min="10" max="10"/>
    <col width="20" customWidth="1" min="11" max="11"/>
    <col width="20" customWidth="1" min="12" max="12"/>
  </cols>
  <sheetData>
    <row r="1">
      <c r="A1" s="1" t="inlineStr">
        <is>
          <t>Instrucciones de uso</t>
        </is>
      </c>
      <c r="B1" s="42" t="n"/>
      <c r="C1" s="42" t="n"/>
      <c r="D1" s="42" t="n"/>
      <c r="E1" s="42" t="n"/>
      <c r="F1" s="43" t="n"/>
    </row>
    <row r="2">
      <c r="H2" s="28" t="inlineStr">
        <is>
          <t>Listas de configuración</t>
        </is>
      </c>
    </row>
    <row r="3">
      <c r="A3" s="29" t="inlineStr">
        <is>
          <t>Flujo recomendado</t>
        </is>
      </c>
      <c r="B3" s="42" t="n"/>
      <c r="C3" s="42" t="n"/>
      <c r="D3" s="42" t="n"/>
      <c r="E3" s="42" t="n"/>
      <c r="F3" s="43" t="n"/>
      <c r="H3" s="31" t="inlineStr">
        <is>
          <t>Tipos de soporte</t>
        </is>
      </c>
      <c r="I3" s="31" t="inlineStr">
        <is>
          <t>Estados del soporte</t>
        </is>
      </c>
      <c r="J3" s="31" t="inlineStr">
        <is>
          <t>Tipos de trabajo</t>
        </is>
      </c>
      <c r="K3" s="31" t="inlineStr">
        <is>
          <t>Estados de sesión</t>
        </is>
      </c>
      <c r="L3" s="31" t="inlineStr">
        <is>
          <t>Valores de control</t>
        </is>
      </c>
    </row>
    <row r="4" ht="25" customHeight="1">
      <c r="A4" s="32" t="inlineStr">
        <is>
          <t>1. Registrar cada batería y tarjeta en Inventario.</t>
        </is>
      </c>
      <c r="B4" s="42" t="n"/>
      <c r="C4" s="42" t="n"/>
      <c r="D4" s="42" t="n"/>
      <c r="E4" s="42" t="n"/>
      <c r="F4" s="43" t="n"/>
      <c r="H4" s="33" t="inlineStr">
        <is>
          <t>Batería</t>
        </is>
      </c>
      <c r="I4" s="33" t="inlineStr">
        <is>
          <t>Activo</t>
        </is>
      </c>
      <c r="J4" s="33" t="inlineStr">
        <is>
          <t>Fotografía</t>
        </is>
      </c>
      <c r="K4" s="33" t="inlineStr">
        <is>
          <t>Planificada</t>
        </is>
      </c>
      <c r="L4" s="33" t="inlineStr">
        <is>
          <t>Sí</t>
        </is>
      </c>
    </row>
    <row r="5" ht="25" customHeight="1">
      <c r="A5" s="32" t="inlineStr">
        <is>
          <t>2. Crear la sesión en Sesiones.</t>
        </is>
      </c>
      <c r="B5" s="42" t="n"/>
      <c r="C5" s="42" t="n"/>
      <c r="D5" s="42" t="n"/>
      <c r="E5" s="42" t="n"/>
      <c r="F5" s="43" t="n"/>
      <c r="H5" s="33" t="inlineStr">
        <is>
          <t>Tarjeta</t>
        </is>
      </c>
      <c r="I5" s="33" t="inlineStr">
        <is>
          <t>En revisión</t>
        </is>
      </c>
      <c r="J5" s="33" t="inlineStr">
        <is>
          <t>Vídeo</t>
        </is>
      </c>
      <c r="K5" s="33" t="inlineStr">
        <is>
          <t>En curso</t>
        </is>
      </c>
      <c r="L5" s="33" t="inlineStr">
        <is>
          <t>No</t>
        </is>
      </c>
    </row>
    <row r="6" ht="25" customHeight="1">
      <c r="A6" s="32" t="inlineStr">
        <is>
          <t>3. Añadir una fila por soporte asignado en Control.</t>
        </is>
      </c>
      <c r="B6" s="42" t="n"/>
      <c r="C6" s="42" t="n"/>
      <c r="D6" s="42" t="n"/>
      <c r="E6" s="42" t="n"/>
      <c r="F6" s="43" t="n"/>
      <c r="I6" s="33" t="inlineStr">
        <is>
          <t>Retirado</t>
        </is>
      </c>
      <c r="J6" s="33" t="inlineStr">
        <is>
          <t>Híbrido</t>
        </is>
      </c>
      <c r="K6" s="33" t="inlineStr">
        <is>
          <t>Finalizada</t>
        </is>
      </c>
      <c r="L6" s="33" t="inlineStr">
        <is>
          <t>No procede</t>
        </is>
      </c>
    </row>
    <row r="7" ht="25" customHeight="1">
      <c r="A7" s="32" t="inlineStr">
        <is>
          <t>4. Anotar la carga o el espacio libre antes de la salida.</t>
        </is>
      </c>
      <c r="B7" s="42" t="n"/>
      <c r="C7" s="42" t="n"/>
      <c r="D7" s="42" t="n"/>
      <c r="E7" s="42" t="n"/>
      <c r="F7" s="43" t="n"/>
      <c r="J7" s="33" t="inlineStr">
        <is>
          <t>Prueba técnica</t>
        </is>
      </c>
      <c r="K7" s="33" t="inlineStr">
        <is>
          <t>Cerrada</t>
        </is>
      </c>
    </row>
    <row r="8" ht="25" customHeight="1">
      <c r="A8" s="32" t="inlineStr">
        <is>
          <t>5. Al devolver el material, registrar la carga restante o los GB usados.</t>
        </is>
      </c>
      <c r="B8" s="42" t="n"/>
      <c r="C8" s="42" t="n"/>
      <c r="D8" s="42" t="n"/>
      <c r="E8" s="42" t="n"/>
      <c r="F8" s="43" t="n"/>
      <c r="K8" s="33" t="inlineStr">
        <is>
          <t>Cancelada</t>
        </is>
      </c>
    </row>
    <row r="9" ht="25" customHeight="1">
      <c r="A9" s="32" t="inlineStr">
        <is>
          <t>6. En tarjetas, marcar primero la descarga.</t>
        </is>
      </c>
      <c r="B9" s="42" t="n"/>
      <c r="C9" s="42" t="n"/>
      <c r="D9" s="42" t="n"/>
      <c r="E9" s="42" t="n"/>
      <c r="F9" s="43" t="n"/>
    </row>
    <row r="10" ht="25" customHeight="1">
      <c r="A10" s="32" t="inlineStr">
        <is>
          <t>7. Marcar la verificación solo después de comprobar internamente la copia.</t>
        </is>
      </c>
      <c r="B10" s="42" t="n"/>
      <c r="C10" s="42" t="n"/>
      <c r="D10" s="42" t="n"/>
      <c r="E10" s="42" t="n"/>
      <c r="F10" s="43" t="n"/>
    </row>
    <row r="11" ht="25" customHeight="1">
      <c r="A11" s="32" t="inlineStr">
        <is>
          <t>8. Registrar el borrado únicamente después de la verificación.</t>
        </is>
      </c>
      <c r="B11" s="42" t="n"/>
      <c r="C11" s="42" t="n"/>
      <c r="D11" s="42" t="n"/>
      <c r="E11" s="42" t="n"/>
      <c r="F11" s="43" t="n"/>
    </row>
    <row r="12" ht="25" customHeight="1">
      <c r="A12" s="32" t="inlineStr">
        <is>
          <t>9. Revisar Resumen y corregir las alertas antes de la siguiente sesión.</t>
        </is>
      </c>
      <c r="B12" s="42" t="n"/>
      <c r="C12" s="42" t="n"/>
      <c r="D12" s="42" t="n"/>
      <c r="E12" s="42" t="n"/>
      <c r="F12" s="43" t="n"/>
    </row>
    <row r="13"/>
    <row r="14">
      <c r="A14" s="29" t="inlineStr">
        <is>
          <t>Criterios de uso</t>
        </is>
      </c>
      <c r="B14" s="42" t="n"/>
      <c r="C14" s="42" t="n"/>
      <c r="D14" s="42" t="n"/>
      <c r="E14" s="42" t="n"/>
      <c r="F14" s="43" t="n"/>
    </row>
    <row r="15" ht="26" customHeight="1">
      <c r="A15" s="32" t="inlineStr">
        <is>
          <t>Descarga realizada indica que se ha efectuado la copia.</t>
        </is>
      </c>
      <c r="B15" s="42" t="n"/>
      <c r="C15" s="42" t="n"/>
      <c r="D15" s="42" t="n"/>
      <c r="E15" s="42" t="n"/>
      <c r="F15" s="43" t="n"/>
    </row>
    <row r="16" ht="26" customHeight="1">
      <c r="A16" s="32" t="inlineStr">
        <is>
          <t>Descarga verificada indica que el equipo ha comprobado internamente esa copia.</t>
        </is>
      </c>
      <c r="B16" s="42" t="n"/>
      <c r="C16" s="42" t="n"/>
      <c r="D16" s="42" t="n"/>
      <c r="E16" s="42" t="n"/>
      <c r="F16" s="43" t="n"/>
    </row>
    <row r="17" ht="26" customHeight="1">
      <c r="A17" s="32" t="inlineStr">
        <is>
          <t>Borrado realizado registra la liberación del soporte después de la comprobación.</t>
        </is>
      </c>
      <c r="B17" s="42" t="n"/>
      <c r="C17" s="42" t="n"/>
      <c r="D17" s="42" t="n"/>
      <c r="E17" s="42" t="n"/>
      <c r="F17" s="43" t="n"/>
    </row>
    <row r="18" ht="26" customHeight="1">
      <c r="A18" s="32" t="inlineStr">
        <is>
          <t>La plantilla registra acciones; no certifica métodos de borrado ni cumplimiento normativo.</t>
        </is>
      </c>
      <c r="B18" s="42" t="n"/>
      <c r="C18" s="42" t="n"/>
      <c r="D18" s="42" t="n"/>
      <c r="E18" s="42" t="n"/>
      <c r="F18" s="43" t="n"/>
    </row>
    <row r="19" ht="26" customHeight="1">
      <c r="A19" s="32" t="inlineStr">
        <is>
          <t>No introducir nombres completos, teléfonos, correos ni otros datos personales.</t>
        </is>
      </c>
      <c r="B19" s="42" t="n"/>
      <c r="C19" s="42" t="n"/>
      <c r="D19" s="42" t="n"/>
      <c r="E19" s="42" t="n"/>
      <c r="F19" s="43" t="n"/>
    </row>
    <row r="20">
      <c r="H20" s="9" t="inlineStr">
        <is>
          <t>Control técnico</t>
        </is>
      </c>
      <c r="I20" s="9" t="inlineStr">
        <is>
          <t>Resultado</t>
        </is>
      </c>
    </row>
    <row r="21">
      <c r="H21" s="12" t="inlineStr">
        <is>
          <t>IDs de soporte duplicados</t>
        </is>
      </c>
      <c r="I21" s="34">
        <f>IF(SUMPRODUCT((tblInventario[ID del soporte]&lt;&gt;"")*(COUNTIF(tblInventario[ID del soporte],tblInventario[ID del soporte])&gt;1))=0,"Correcto","Revisar")</f>
        <v/>
      </c>
    </row>
    <row r="22">
      <c r="A22" s="35" t="inlineStr">
        <is>
          <t>Leyenda</t>
        </is>
      </c>
      <c r="H22" s="12" t="inlineStr">
        <is>
          <t>IDs de sesión duplicados</t>
        </is>
      </c>
      <c r="I22" s="34">
        <f>IF(SUMPRODUCT((tblSesiones[ID de sesión]&lt;&gt;"")*(COUNTIF(tblSesiones[ID de sesión],tblSesiones[ID de sesión])&gt;1))=0,"Correcto","Revisar")</f>
        <v/>
      </c>
    </row>
    <row r="23">
      <c r="A23" s="36" t="inlineStr">
        <is>
          <t>Verde</t>
        </is>
      </c>
      <c r="B23" s="12" t="inlineStr">
        <is>
          <t>Preparado o correcto.</t>
        </is>
      </c>
      <c r="H23" s="12" t="inlineStr">
        <is>
          <t>IDs de control duplicados</t>
        </is>
      </c>
      <c r="I23" s="34">
        <f>IF(SUMPRODUCT((tblControl[ID de control]&lt;&gt;"")*(COUNTIF(tblControl[ID de control],tblControl[ID de control])&gt;1))=0,"Correcto","Revisar")</f>
        <v/>
      </c>
    </row>
    <row r="24">
      <c r="A24" s="37" t="inlineStr">
        <is>
          <t>Amarillo</t>
        </is>
      </c>
      <c r="B24" s="12" t="inlineStr">
        <is>
          <t>Acción pendiente.</t>
        </is>
      </c>
      <c r="H24" s="12" t="inlineStr">
        <is>
          <t>Soportes desconocidos en Control</t>
        </is>
      </c>
      <c r="I24" s="34">
        <f>IF(COUNTIFS(tblControl[ID del soporte],"&lt;&gt;",tblControl[Tipo],"")=0,"Correcto","Revisar")</f>
        <v/>
      </c>
    </row>
    <row r="25">
      <c r="A25" s="38" t="inlineStr">
        <is>
          <t>Rojo</t>
        </is>
      </c>
      <c r="B25" s="12" t="inlineStr">
        <is>
          <t>Incidencia o incoherencia.</t>
        </is>
      </c>
      <c r="H25" s="12" t="inlineStr">
        <is>
          <t>Sesiones desconocidas en Control</t>
        </is>
      </c>
      <c r="I25" s="34">
        <f>IF(SUMPRODUCT((tblControl[ID de sesión]&lt;&gt;"")*(COUNTIF(tblSesiones[ID de sesión],tblControl[ID de sesión])=0))=0,"Correcto","Revisar")</f>
        <v/>
      </c>
    </row>
    <row r="26">
      <c r="A26" s="39" t="inlineStr">
        <is>
          <t>Azul</t>
        </is>
      </c>
      <c r="B26" s="12" t="inlineStr">
        <is>
          <t>Asignación abierta.</t>
        </is>
      </c>
      <c r="H26" s="12" t="inlineStr">
        <is>
          <t>Soportes con más de una asignación abierta</t>
        </is>
      </c>
      <c r="I26" s="34">
        <f>IF(COUNTIF(tblControl[Comprobación],"Soporte asignado más de una vez")=0,"Correcto","Revisar")</f>
        <v/>
      </c>
    </row>
    <row r="27">
      <c r="A27" s="40" t="inlineStr">
        <is>
          <t>Gris</t>
        </is>
      </c>
      <c r="B27" s="12" t="inlineStr">
        <is>
          <t>Cerrado, retirado o no disponible.</t>
        </is>
      </c>
      <c r="H27" s="12" t="inlineStr">
        <is>
          <t>Devoluciones anteriores a la salida</t>
        </is>
      </c>
      <c r="I27" s="34">
        <f>IF(COUNTIF(tblControl[Comprobación],"La devolución es anterior a la salida")=0,"Correcto","Revisar")</f>
        <v/>
      </c>
    </row>
    <row r="28">
      <c r="H28" s="12" t="inlineStr">
        <is>
          <t>Tarjetas borradas sin verificación</t>
        </is>
      </c>
      <c r="I28" s="34">
        <f>IF(COUNTIFS(tblControl[Tipo],"Tarjeta",tblControl[Borrado realizado],"Sí",tblControl[Descarga verificada],"&lt;&gt;Sí")=0,"Correcto","Revisar")</f>
        <v/>
      </c>
    </row>
    <row r="29">
      <c r="H29" s="12" t="inlineStr">
        <is>
          <t>GB usados superiores al espacio inicial</t>
        </is>
      </c>
      <c r="I29" s="34">
        <f>IF(SUMPRODUCT((tblControl[Tipo]="Tarjeta")*(tblControl[GB usados]&lt;&gt;"")*(tblControl[Espacio libre de salida (GB)]&lt;&gt;"")*(tblControl[GB usados]&gt;tblControl[Espacio libre de salida (GB)]))=0,"Correcto","Revisar")</f>
        <v/>
      </c>
    </row>
    <row r="30">
      <c r="H30" s="12" t="inlineStr">
        <is>
          <t>Filas parcialmente cumplimentadas</t>
        </is>
      </c>
      <c r="I30" s="34">
        <f>IF(SUMPRODUCT((tblControl[ID de control]="")*((tblControl[ID de sesión]&lt;&gt;"")+(tblControl[ID del soporte]&lt;&gt;"")+(tblControl[Fecha de salida]&lt;&gt;"")&gt;0))=0,"Correcto","Revisar")</f>
        <v/>
      </c>
    </row>
    <row r="31"/>
    <row r="32">
      <c r="H32" s="5" t="inlineStr">
        <is>
          <t>Resultado global</t>
        </is>
      </c>
      <c r="I32" s="41">
        <f>IF(COUNTIF(I21:I30,"Revisar")=0,"Libro revisado","Hay comprobaciones pendientes")</f>
        <v/>
      </c>
    </row>
  </sheetData>
  <mergeCells count="17">
    <mergeCell ref="A16:F16"/>
    <mergeCell ref="A11:F11"/>
    <mergeCell ref="A10:F10"/>
    <mergeCell ref="A19:F19"/>
    <mergeCell ref="A14:F14"/>
    <mergeCell ref="A1:F1"/>
    <mergeCell ref="A5:F5"/>
    <mergeCell ref="A9:F9"/>
    <mergeCell ref="A8:F8"/>
    <mergeCell ref="A6:F6"/>
    <mergeCell ref="A17:F17"/>
    <mergeCell ref="A12:F12"/>
    <mergeCell ref="A4:F4"/>
    <mergeCell ref="A18:F18"/>
    <mergeCell ref="A3:F3"/>
    <mergeCell ref="A15:F15"/>
    <mergeCell ref="A7:F7"/>
  </mergeCells>
  <conditionalFormatting sqref="I21:I30">
    <cfRule type="expression" priority="1" dxfId="0">
      <formula>$I21="Correcto"</formula>
    </cfRule>
    <cfRule type="expression" priority="2" dxfId="1">
      <formula>$I21="Revisar"</formula>
    </cfRule>
  </conditionalFormatting>
  <conditionalFormatting sqref="I32">
    <cfRule type="expression" priority="3" dxfId="0">
      <formula>$I32="Libro revisado"</formula>
    </cfRule>
    <cfRule type="expression" priority="4" dxfId="1">
      <formula>$I32="Hay comprobaciones pendientes"</formula>
    </cfRule>
  </conditionalFormatting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2026-09-08T15:14:59Z</dcterms:created>
  <dcterms:modified xmlns:dcterms="http://purl.org/dc/terms/" xmlns:xsi="http://www.w3.org/2001/XMLSchema-instance" xsi:type="dcterms:W3CDTF">2026-09-08T15:15:00+00:00Z</dcterms:modified>
</cp:coreProperties>
</file>