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lan logístico" sheetId="2" state="visible" r:id="rId2"/>
    <sheet xmlns:r="http://schemas.openxmlformats.org/officeDocument/2006/relationships" name="Recursos" sheetId="3" state="visible" r:id="rId3"/>
    <sheet xmlns:r="http://schemas.openxmlformats.org/officeDocument/2006/relationships" name="Instruccion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0 &quot;kg&quot;"/>
    <numFmt numFmtId="166" formatCode="hh:mm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5515F"/>
      <sz val="10"/>
    </font>
    <font>
      <name val="Aptos"/>
      <b val="1"/>
      <color rgb="00272431"/>
      <sz val="10"/>
    </font>
    <font>
      <name val="Aptos"/>
      <b val="1"/>
      <color rgb="00FFFFFF"/>
      <sz val="10"/>
    </font>
    <font>
      <name val="Aptos Display"/>
      <b val="1"/>
      <color rgb="0026233F"/>
      <sz val="15"/>
    </font>
    <font>
      <name val="Aptos"/>
      <color rgb="00272431"/>
      <sz val="10"/>
    </font>
    <font>
      <name val="Aptos"/>
      <color rgb="0055515F"/>
      <sz val="10"/>
    </font>
  </fonts>
  <fills count="8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E8E6EC"/>
      </patternFill>
    </fill>
    <fill>
      <patternFill patternType="solid">
        <fgColor rgb="00E05A47"/>
      </patternFill>
    </fill>
    <fill>
      <patternFill patternType="solid">
        <fgColor rgb="00F7F2FA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2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pivotButton="0" quotePrefix="0" xfId="0"/>
    <xf numFmtId="164" fontId="0" fillId="3" borderId="1" pivotButton="0" quotePrefix="0" xfId="0"/>
    <xf numFmtId="0" fontId="4" fillId="4" borderId="1" applyAlignment="1" pivotButton="0" quotePrefix="0" xfId="0">
      <alignment horizontal="left" vertical="center" wrapText="1"/>
    </xf>
    <xf numFmtId="1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6" fillId="5" borderId="1" pivotButton="0" quotePrefix="0" xfId="0"/>
    <xf numFmtId="1" fontId="6" fillId="5" borderId="1" pivotButton="0" quotePrefix="0" xfId="0"/>
    <xf numFmtId="0" fontId="6" fillId="6" borderId="1" pivotButton="0" quotePrefix="0" xfId="0"/>
    <xf numFmtId="1" fontId="6" fillId="6" borderId="1" pivotButton="0" quotePrefix="0" xfId="0"/>
    <xf numFmtId="164" fontId="6" fillId="5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1" fontId="6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164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 wrapText="1"/>
    </xf>
    <xf numFmtId="49" fontId="6" fillId="7" borderId="1" applyAlignment="1" pivotButton="0" quotePrefix="0" xfId="0">
      <alignment horizontal="left" vertical="center"/>
    </xf>
    <xf numFmtId="166" fontId="6" fillId="7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center"/>
    </xf>
    <xf numFmtId="2" fontId="6" fillId="7" borderId="1" applyAlignment="1" pivotButton="0" quotePrefix="0" xfId="0">
      <alignment horizontal="left" vertical="center"/>
    </xf>
    <xf numFmtId="2" fontId="7" fillId="3" borderId="1" applyAlignment="1" pivotButton="0" quotePrefix="0" xfId="0">
      <alignment horizontal="left" vertical="center"/>
    </xf>
    <xf numFmtId="165" fontId="7" fillId="3" borderId="1" applyAlignment="1" pivotButton="0" quotePrefix="0" xfId="0">
      <alignment horizontal="left" vertical="center"/>
    </xf>
    <xf numFmtId="165" fontId="6" fillId="7" borderId="1" applyAlignment="1" pivotButton="0" quotePrefix="0" xfId="0">
      <alignment horizontal="left" vertical="center"/>
    </xf>
    <xf numFmtId="0" fontId="4" fillId="4" borderId="1" pivotButton="0" quotePrefix="0" xfId="0"/>
    <xf numFmtId="0" fontId="6" fillId="5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166" fontId="6" fillId="7" borderId="1" applyAlignment="1" pivotButton="0" quotePrefix="0" xfId="0">
      <alignment horizontal="left" vertical="center"/>
    </xf>
  </cellXfs>
  <cellStyles count="1">
    <cellStyle name="Normal" xfId="0" builtinId="0" hidden="0"/>
  </cellStyles>
  <dxfs count="7">
    <dxf>
      <font>
        <name val="Aptos"/>
        <b val="1"/>
        <color rgb="00FFFFFF"/>
        <sz val="10"/>
      </font>
      <fill>
        <patternFill patternType="solid">
          <fgColor rgb="00B54552"/>
        </patternFill>
      </fill>
    </dxf>
    <dxf>
      <font>
        <name val="Aptos"/>
        <b val="1"/>
        <color rgb="00FFFFFF"/>
        <sz val="10"/>
      </font>
      <fill>
        <patternFill patternType="solid">
          <fgColor rgb="0016867A"/>
        </patternFill>
      </fill>
    </dxf>
    <dxf>
      <font>
        <name val="Aptos"/>
        <color rgb="008C2937"/>
        <sz val="10"/>
      </font>
      <fill>
        <patternFill patternType="solid">
          <fgColor rgb="00F6D8DC"/>
        </patternFill>
      </fill>
    </dxf>
    <dxf>
      <font>
        <name val="Aptos"/>
        <color rgb="008C2937"/>
        <sz val="10"/>
      </font>
      <fill>
        <patternFill patternType="solid">
          <fgColor rgb="00FFF0C7"/>
        </patternFill>
      </fill>
    </dxf>
    <dxf>
      <font>
        <name val="Aptos"/>
        <color rgb="00272431"/>
        <sz val="10"/>
      </font>
      <fill>
        <patternFill patternType="solid">
          <fgColor rgb="00FFF0C7"/>
        </patternFill>
      </fill>
    </dxf>
    <dxf>
      <font>
        <name val="Aptos"/>
        <color rgb="00272431"/>
        <sz val="10"/>
      </font>
      <fill>
        <patternFill patternType="solid">
          <fgColor rgb="00D8EFE9"/>
        </patternFill>
      </fill>
    </dxf>
    <dxf>
      <font>
        <name val="Aptos"/>
        <color rgb="0055515F"/>
        <sz val="10"/>
      </font>
      <fill>
        <patternFill patternType="solid">
          <fgColor rgb="00EAF5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Líneas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'Resumen'!$A$14:$A$19</f>
            </numRef>
          </cat>
          <val>
            <numRef>
              <f>'Resumen'!$B$14:$B$19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Líneas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4608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lan" displayName="tblPlan" ref="A5:AF205" headerRowCount="1">
  <autoFilter ref="A5:AF205"/>
  <tableColumns count="32">
    <tableColumn id="1" name="ID expedición"/>
    <tableColumn id="2" name="Fecha"/>
    <tableColumn id="3" name="Localización"/>
    <tableColumn id="4" name="Punto de acceso o entrega"/>
    <tableColumn id="5" name="Responsable"/>
    <tableColumn id="6" name="Teléfono operativo"/>
    <tableColumn id="7" name="Hora de carga"/>
    <tableColumn id="8" name="Salida prevista"/>
    <tableColumn id="9" name="Entrega desde"/>
    <tableColumn id="10" name="Entrega hasta"/>
    <tableColumn id="11" name="Recogida prevista"/>
    <tableColumn id="12" name="Retorno previsto"/>
    <tableColumn id="13" name="Código de recurso"/>
    <tableColumn id="14" name="Recurso"/>
    <tableColumn id="15" name="Categoría"/>
    <tableColumn id="16" name="Cantidad prevista"/>
    <tableColumn id="17" name="Unidad"/>
    <tableColumn id="18" name="Stock disponible"/>
    <tableColumn id="19" name="Peso unitario (kg)"/>
    <tableColumn id="20" name="Peso total (kg)"/>
    <tableColumn id="21" name="Vehículo interno"/>
    <tableColumn id="22" name="Prioridad"/>
    <tableColumn id="23" name="Estado"/>
    <tableColumn id="24" name="Cantidad entregada"/>
    <tableColumn id="25" name="Cantidad devuelta"/>
    <tableColumn id="26" name="Hora de entrega real"/>
    <tableColumn id="27" name="Hora de retorno real"/>
    <tableColumn id="28" name="Incidencia"/>
    <tableColumn id="29" name="Observaciones"/>
    <tableColumn id="30" name="Cantidad pendiente"/>
    <tableColumn id="31" name="Alerta"/>
    <tableColumn id="32" name="Revisió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Recursos" displayName="tblRecursos" ref="A5:H105" headerRowCount="1">
  <autoFilter ref="A5:H105"/>
  <tableColumns count="8">
    <tableColumn id="1" name="Código"/>
    <tableColumn id="2" name="Categoría"/>
    <tableColumn id="3" name="Descripción"/>
    <tableColumn id="4" name="Stock disponible"/>
    <tableColumn id="5" name="Unidad"/>
    <tableColumn id="6" name="Peso unitario (kg)"/>
    <tableColumn id="7" name="Activo"/>
    <tableColumn id="8" name="Observacio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5" customWidth="1" min="2" max="2"/>
    <col width="3" customWidth="1" min="3" max="3"/>
    <col width="24" customWidth="1" min="4" max="4"/>
    <col width="15" customWidth="1" min="5" max="5"/>
    <col width="3" customWidth="1" min="6" max="6"/>
    <col width="22" customWidth="1" min="7" max="7"/>
    <col width="15" customWidth="1" min="8" max="8"/>
    <col width="3" customWidth="1" min="9" max="9"/>
  </cols>
  <sheetData>
    <row r="1" ht="30" customHeight="1">
      <c r="A1" s="1" t="inlineStr">
        <is>
          <t>Logística de equipo por localización</t>
        </is>
      </c>
    </row>
    <row r="2" ht="28" customHeight="1">
      <c r="A2" s="3" t="inlineStr">
        <is>
          <t>Control de expediciones, material, vehículos, horarios y entregas</t>
        </is>
      </c>
    </row>
    <row r="3">
      <c r="A3" s="4" t="inlineStr">
        <is>
          <t>Fecha de revisión</t>
        </is>
      </c>
      <c r="B3" s="5">
        <f>TODAY()</f>
        <v/>
      </c>
    </row>
    <row r="4"/>
    <row r="5" ht="34" customHeight="1">
      <c r="A5" s="6" t="inlineStr">
        <is>
          <t>Expediciones planificadas</t>
        </is>
      </c>
      <c r="B5" s="7">
        <f>IFERROR(SUMPRODUCT((tblPlan[ID expedición]&lt;&gt;"")/COUNTIF(tblPlan[ID expedición],tblPlan[ID expedición]&amp;"")),0)</f>
        <v/>
      </c>
      <c r="D5" s="6" t="inlineStr">
        <is>
          <t>Localizaciones activas</t>
        </is>
      </c>
      <c r="E5" s="7">
        <f>IFERROR(SUMPRODUCT((tblPlan[Localización]&lt;&gt;"")/COUNTIF(tblPlan[Localización],tblPlan[Localización]&amp;"")),0)</f>
        <v/>
      </c>
      <c r="G5" s="6" t="inlineStr">
        <is>
          <t>Líneas de material</t>
        </is>
      </c>
      <c r="H5" s="7">
        <f>COUNTIF(tblPlan[Código de recurso],"&lt;&gt;")</f>
        <v/>
      </c>
    </row>
    <row r="6"/>
    <row r="7" ht="34" customHeight="1">
      <c r="A7" s="6" t="inlineStr">
        <is>
          <t>Líneas preparadas</t>
        </is>
      </c>
      <c r="B7" s="7">
        <f>COUNTIF(tblPlan[Estado],"Preparado")</f>
        <v/>
      </c>
      <c r="D7" s="6" t="inlineStr">
        <is>
          <t>Entregas completadas</t>
        </is>
      </c>
      <c r="E7" s="7">
        <f>COUNTIF(tblPlan[Estado],"Entregado")+COUNTIF(tblPlan[Estado],"Devuelto")</f>
        <v/>
      </c>
      <c r="G7" s="6" t="inlineStr">
        <is>
          <t>Alertas abiertas</t>
        </is>
      </c>
      <c r="H7" s="7">
        <f>COUNTIF(tblPlan[Alerta],"&lt;&gt;")+COUNTIF(tblPlan[Revisión],"Revisar")</f>
        <v/>
      </c>
    </row>
    <row r="8"/>
    <row r="9" ht="34" customHeight="1">
      <c r="A9" s="6" t="inlineStr">
        <is>
          <t>Cantidad pendiente de entrega</t>
        </is>
      </c>
      <c r="B9" s="7">
        <f>SUM(tblPlan[Cantidad pendiente])</f>
        <v/>
      </c>
      <c r="D9" s="6" t="inlineStr">
        <is>
          <t>Peso total planificado</t>
        </is>
      </c>
      <c r="E9" s="8">
        <f>SUM(tblPlan[Peso total (kg)])</f>
        <v/>
      </c>
      <c r="G9" s="6" t="inlineStr">
        <is>
          <t>Filas con incidencia</t>
        </is>
      </c>
      <c r="H9" s="7">
        <f>COUNTIF(tblPlan[Incidencia],"Sí")</f>
        <v/>
      </c>
    </row>
    <row r="10"/>
    <row r="11"/>
    <row r="12"/>
    <row r="13" ht="36" customHeight="1">
      <c r="A13" s="9" t="inlineStr">
        <is>
          <t>Estado</t>
        </is>
      </c>
      <c r="B13" s="9" t="inlineStr">
        <is>
          <t>Nº de líneas</t>
        </is>
      </c>
    </row>
    <row r="14">
      <c r="A14" s="10" t="inlineStr">
        <is>
          <t>Borrador</t>
        </is>
      </c>
      <c r="B14" s="11">
        <f>COUNTIF(tblPlan[Estado],A14)</f>
        <v/>
      </c>
    </row>
    <row r="15">
      <c r="A15" s="12" t="inlineStr">
        <is>
          <t>Pendiente</t>
        </is>
      </c>
      <c r="B15" s="13">
        <f>COUNTIF(tblPlan[Estado],A15)</f>
        <v/>
      </c>
    </row>
    <row r="16">
      <c r="A16" s="10" t="inlineStr">
        <is>
          <t>Preparado</t>
        </is>
      </c>
      <c r="B16" s="11">
        <f>COUNTIF(tblPlan[Estado],A16)</f>
        <v/>
      </c>
    </row>
    <row r="17">
      <c r="A17" s="12" t="inlineStr">
        <is>
          <t>En tránsito</t>
        </is>
      </c>
      <c r="B17" s="13">
        <f>COUNTIF(tblPlan[Estado],A17)</f>
        <v/>
      </c>
    </row>
    <row r="18">
      <c r="A18" s="10" t="inlineStr">
        <is>
          <t>Entregado</t>
        </is>
      </c>
      <c r="B18" s="11">
        <f>COUNTIF(tblPlan[Estado],A18)</f>
        <v/>
      </c>
    </row>
    <row r="19">
      <c r="A19" s="12" t="inlineStr">
        <is>
          <t>Devuelto</t>
        </is>
      </c>
      <c r="B19" s="13">
        <f>COUNTIF(tblPlan[Estado],A19)</f>
        <v/>
      </c>
    </row>
    <row r="20"/>
    <row r="21"/>
    <row r="22"/>
    <row r="23" ht="36" customHeight="1">
      <c r="A23" s="9" t="inlineStr">
        <is>
          <t>Fecha</t>
        </is>
      </c>
      <c r="B23" s="9" t="inlineStr">
        <is>
          <t>Líneas previstas</t>
        </is>
      </c>
      <c r="C23" s="9" t="inlineStr">
        <is>
          <t>Líneas pendientes</t>
        </is>
      </c>
      <c r="D23" s="9" t="inlineStr">
        <is>
          <t>Alertas</t>
        </is>
      </c>
    </row>
    <row r="24">
      <c r="A24" s="14">
        <f>TODAY()</f>
        <v/>
      </c>
      <c r="B24" s="15">
        <f>COUNTIF(tblPlan[Fecha],A24)</f>
        <v/>
      </c>
      <c r="C24" s="15">
        <f>COUNTIFS(tblPlan[Fecha],A24,tblPlan[Estado],"&lt;&gt;Entregado",tblPlan[Estado],"&lt;&gt;Devuelto",tblPlan[ID expedición],"&lt;&gt;")</f>
        <v/>
      </c>
      <c r="D24" s="15">
        <f>COUNTIFS(tblPlan[Fecha],A24,tblPlan[Alerta],"&lt;&gt;")</f>
        <v/>
      </c>
    </row>
    <row r="25">
      <c r="A25" s="16">
        <f>A24+1</f>
        <v/>
      </c>
      <c r="B25" s="17">
        <f>COUNTIF(tblPlan[Fecha],A25)</f>
        <v/>
      </c>
      <c r="C25" s="17">
        <f>COUNTIFS(tblPlan[Fecha],A25,tblPlan[Estado],"&lt;&gt;Entregado",tblPlan[Estado],"&lt;&gt;Devuelto",tblPlan[ID expedición],"&lt;&gt;")</f>
        <v/>
      </c>
      <c r="D25" s="17">
        <f>COUNTIFS(tblPlan[Fecha],A25,tblPlan[Alerta],"&lt;&gt;")</f>
        <v/>
      </c>
    </row>
    <row r="26">
      <c r="A26" s="14">
        <f>A25+1</f>
        <v/>
      </c>
      <c r="B26" s="15">
        <f>COUNTIF(tblPlan[Fecha],A26)</f>
        <v/>
      </c>
      <c r="C26" s="15">
        <f>COUNTIFS(tblPlan[Fecha],A26,tblPlan[Estado],"&lt;&gt;Entregado",tblPlan[Estado],"&lt;&gt;Devuelto",tblPlan[ID expedición],"&lt;&gt;")</f>
        <v/>
      </c>
      <c r="D26" s="15">
        <f>COUNTIFS(tblPlan[Fecha],A26,tblPlan[Alerta],"&lt;&gt;")</f>
        <v/>
      </c>
    </row>
    <row r="27">
      <c r="A27" s="16">
        <f>A26+1</f>
        <v/>
      </c>
      <c r="B27" s="17">
        <f>COUNTIF(tblPlan[Fecha],A27)</f>
        <v/>
      </c>
      <c r="C27" s="17">
        <f>COUNTIFS(tblPlan[Fecha],A27,tblPlan[Estado],"&lt;&gt;Entregado",tblPlan[Estado],"&lt;&gt;Devuelto",tblPlan[ID expedición],"&lt;&gt;")</f>
        <v/>
      </c>
      <c r="D27" s="17">
        <f>COUNTIFS(tblPlan[Fecha],A27,tblPlan[Alerta],"&lt;&gt;")</f>
        <v/>
      </c>
    </row>
    <row r="28">
      <c r="A28" s="14">
        <f>A27+1</f>
        <v/>
      </c>
      <c r="B28" s="15">
        <f>COUNTIF(tblPlan[Fecha],A28)</f>
        <v/>
      </c>
      <c r="C28" s="15">
        <f>COUNTIFS(tblPlan[Fecha],A28,tblPlan[Estado],"&lt;&gt;Entregado",tblPlan[Estado],"&lt;&gt;Devuelto",tblPlan[ID expedición],"&lt;&gt;")</f>
        <v/>
      </c>
      <c r="D28" s="15">
        <f>COUNTIFS(tblPlan[Fecha],A28,tblPlan[Alerta],"&lt;&gt;")</f>
        <v/>
      </c>
    </row>
    <row r="29">
      <c r="A29" s="16">
        <f>A28+1</f>
        <v/>
      </c>
      <c r="B29" s="17">
        <f>COUNTIF(tblPlan[Fecha],A29)</f>
        <v/>
      </c>
      <c r="C29" s="17">
        <f>COUNTIFS(tblPlan[Fecha],A29,tblPlan[Estado],"&lt;&gt;Entregado",tblPlan[Estado],"&lt;&gt;Devuelto",tblPlan[ID expedición],"&lt;&gt;")</f>
        <v/>
      </c>
      <c r="D29" s="17">
        <f>COUNTIFS(tblPlan[Fecha],A29,tblPlan[Alerta],"&lt;&gt;")</f>
        <v/>
      </c>
    </row>
    <row r="30">
      <c r="A30" s="14">
        <f>A29+1</f>
        <v/>
      </c>
      <c r="B30" s="15">
        <f>COUNTIF(tblPlan[Fecha],A30)</f>
        <v/>
      </c>
      <c r="C30" s="15">
        <f>COUNTIFS(tblPlan[Fecha],A30,tblPlan[Estado],"&lt;&gt;Entregado",tblPlan[Estado],"&lt;&gt;Devuelto",tblPlan[ID expedición],"&lt;&gt;")</f>
        <v/>
      </c>
      <c r="D30" s="15">
        <f>COUNTIFS(tblPlan[Fecha],A30,tblPlan[Alerta],"&lt;&gt;")</f>
        <v/>
      </c>
    </row>
    <row r="31">
      <c r="A31" s="16">
        <f>A30+1</f>
        <v/>
      </c>
      <c r="B31" s="17">
        <f>COUNTIF(tblPlan[Fecha],A31)</f>
        <v/>
      </c>
      <c r="C31" s="17">
        <f>COUNTIFS(tblPlan[Fecha],A31,tblPlan[Estado],"&lt;&gt;Entregado",tblPlan[Estado],"&lt;&gt;Devuelto",tblPlan[ID expedición],"&lt;&gt;")</f>
        <v/>
      </c>
      <c r="D31" s="17">
        <f>COUNTIFS(tblPlan[Fecha],A31,tblPlan[Alerta],"&lt;&gt;")</f>
        <v/>
      </c>
    </row>
  </sheetData>
  <mergeCells count="1">
    <mergeCell ref="A1:H1"/>
  </mergeCells>
  <conditionalFormatting sqref="H7">
    <cfRule type="cellIs" priority="1" operator="greaterThan" dxfId="0">
      <formula>0</formula>
    </cfRule>
    <cfRule type="cellIs" priority="2" operator="equal" dxfId="1">
      <formula>0</formula>
    </cfRule>
  </conditionalFormatting>
  <conditionalFormatting sqref="B9">
    <cfRule type="cellIs" priority="3" operator="greaterThan" dxfId="2">
      <formula>0</formula>
    </cfRule>
  </conditionalFormatting>
  <conditionalFormatting sqref="H9">
    <cfRule type="cellIs" priority="4" operator="greaterThan" dxfId="2">
      <formula>0</formula>
    </cfRule>
  </conditionalFormatting>
  <conditionalFormatting sqref="D24:D31">
    <cfRule type="cellIs" priority="5" operator="greaterThan" dxfId="0">
      <formula>0</formula>
    </cfRule>
  </conditionalFormatting>
  <conditionalFormatting sqref="C24:C31">
    <cfRule type="cellIs" priority="6" operator="greaterThan" dxfId="3">
      <formula>0</formula>
    </cfRule>
  </conditionalFormatting>
  <pageMargins left="0.25" right="0.25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F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2" customWidth="1" min="3" max="3"/>
    <col width="25" customWidth="1" min="4" max="4"/>
    <col width="18" customWidth="1" min="5" max="5"/>
    <col width="17" customWidth="1" min="6" max="6"/>
    <col width="12" customWidth="1" min="7" max="7"/>
    <col width="13" customWidth="1" min="8" max="8"/>
    <col width="12" customWidth="1" min="9" max="9"/>
    <col width="12" customWidth="1" min="10" max="10"/>
    <col width="14" customWidth="1" min="11" max="11"/>
    <col width="14" customWidth="1" min="12" max="12"/>
    <col width="17" customWidth="1" min="13" max="13"/>
    <col width="27" customWidth="1" min="14" max="14"/>
    <col width="15" customWidth="1" min="15" max="15"/>
    <col width="15" customWidth="1" min="16" max="16"/>
    <col width="11" customWidth="1" min="17" max="17"/>
    <col width="15" customWidth="1" min="18" max="18"/>
    <col width="16" customWidth="1" min="19" max="19"/>
    <col width="15" customWidth="1" min="20" max="20"/>
    <col width="17" customWidth="1" min="21" max="21"/>
    <col width="12" customWidth="1" min="22" max="22"/>
    <col width="15" customWidth="1" min="23" max="23"/>
    <col width="17" customWidth="1" min="24" max="24"/>
    <col width="17" customWidth="1" min="25" max="25"/>
    <col width="17" customWidth="1" min="26" max="26"/>
    <col width="17" customWidth="1" min="27" max="27"/>
    <col width="12" customWidth="1" min="28" max="28"/>
    <col width="31" customWidth="1" min="29" max="29"/>
    <col width="17" customWidth="1" min="30" max="30"/>
    <col width="27" customWidth="1" min="31" max="31"/>
    <col width="13" customWidth="1" min="32" max="32"/>
  </cols>
  <sheetData>
    <row r="1" ht="30" customHeight="1">
      <c r="A1" s="1" t="inlineStr">
        <is>
          <t>Plan logístico por localización</t>
        </is>
      </c>
    </row>
    <row r="2" ht="28" customHeight="1">
      <c r="A2" s="3" t="inlineStr">
        <is>
          <t>Una fila representa una línea de material dentro de una expedición. Repita el mismo ID de expedición para agrupar materiales del mismo viaje.</t>
        </is>
      </c>
    </row>
    <row r="3" ht="28" customHeight="1">
      <c r="A3" s="3" t="inlineStr">
        <is>
          <t>No repita un vehículo en expediciones distintas con horarios solapados. Las columnas grises se calculan automáticamente.</t>
        </is>
      </c>
    </row>
    <row r="4"/>
    <row r="5" ht="36" customHeight="1">
      <c r="A5" s="9" t="inlineStr">
        <is>
          <t>ID expedición</t>
        </is>
      </c>
      <c r="B5" s="9" t="inlineStr">
        <is>
          <t>Fecha</t>
        </is>
      </c>
      <c r="C5" s="9" t="inlineStr">
        <is>
          <t>Localización</t>
        </is>
      </c>
      <c r="D5" s="9" t="inlineStr">
        <is>
          <t>Punto de acceso o entrega</t>
        </is>
      </c>
      <c r="E5" s="9" t="inlineStr">
        <is>
          <t>Responsable</t>
        </is>
      </c>
      <c r="F5" s="9" t="inlineStr">
        <is>
          <t>Teléfono operativo</t>
        </is>
      </c>
      <c r="G5" s="9" t="inlineStr">
        <is>
          <t>Hora de carga</t>
        </is>
      </c>
      <c r="H5" s="9" t="inlineStr">
        <is>
          <t>Salida prevista</t>
        </is>
      </c>
      <c r="I5" s="9" t="inlineStr">
        <is>
          <t>Entrega desde</t>
        </is>
      </c>
      <c r="J5" s="9" t="inlineStr">
        <is>
          <t>Entrega hasta</t>
        </is>
      </c>
      <c r="K5" s="9" t="inlineStr">
        <is>
          <t>Recogida prevista</t>
        </is>
      </c>
      <c r="L5" s="9" t="inlineStr">
        <is>
          <t>Retorno previsto</t>
        </is>
      </c>
      <c r="M5" s="9" t="inlineStr">
        <is>
          <t>Código de recurso</t>
        </is>
      </c>
      <c r="N5" s="9" t="inlineStr">
        <is>
          <t>Recurso</t>
        </is>
      </c>
      <c r="O5" s="9" t="inlineStr">
        <is>
          <t>Categoría</t>
        </is>
      </c>
      <c r="P5" s="9" t="inlineStr">
        <is>
          <t>Cantidad prevista</t>
        </is>
      </c>
      <c r="Q5" s="9" t="inlineStr">
        <is>
          <t>Unidad</t>
        </is>
      </c>
      <c r="R5" s="9" t="inlineStr">
        <is>
          <t>Stock disponible</t>
        </is>
      </c>
      <c r="S5" s="9" t="inlineStr">
        <is>
          <t>Peso unitario (kg)</t>
        </is>
      </c>
      <c r="T5" s="9" t="inlineStr">
        <is>
          <t>Peso total (kg)</t>
        </is>
      </c>
      <c r="U5" s="9" t="inlineStr">
        <is>
          <t>Vehículo interno</t>
        </is>
      </c>
      <c r="V5" s="9" t="inlineStr">
        <is>
          <t>Prioridad</t>
        </is>
      </c>
      <c r="W5" s="9" t="inlineStr">
        <is>
          <t>Estado</t>
        </is>
      </c>
      <c r="X5" s="9" t="inlineStr">
        <is>
          <t>Cantidad entregada</t>
        </is>
      </c>
      <c r="Y5" s="9" t="inlineStr">
        <is>
          <t>Cantidad devuelta</t>
        </is>
      </c>
      <c r="Z5" s="9" t="inlineStr">
        <is>
          <t>Hora de entrega real</t>
        </is>
      </c>
      <c r="AA5" s="9" t="inlineStr">
        <is>
          <t>Hora de retorno real</t>
        </is>
      </c>
      <c r="AB5" s="9" t="inlineStr">
        <is>
          <t>Incidencia</t>
        </is>
      </c>
      <c r="AC5" s="9" t="inlineStr">
        <is>
          <t>Observaciones</t>
        </is>
      </c>
      <c r="AD5" s="9" t="inlineStr">
        <is>
          <t>Cantidad pendiente</t>
        </is>
      </c>
      <c r="AE5" s="9" t="inlineStr">
        <is>
          <t>Alerta</t>
        </is>
      </c>
      <c r="AF5" s="9" t="inlineStr">
        <is>
          <t>Revisión</t>
        </is>
      </c>
    </row>
    <row r="6">
      <c r="A6" s="18" t="inlineStr">
        <is>
          <t>EXP-001</t>
        </is>
      </c>
      <c r="B6" s="19" t="n">
        <v>46280</v>
      </c>
      <c r="C6" s="20" t="inlineStr">
        <is>
          <t>Plató Nube Norte</t>
        </is>
      </c>
      <c r="D6" s="20" t="inlineStr">
        <is>
          <t>Muelle ficticio A</t>
        </is>
      </c>
      <c r="E6" s="18" t="inlineStr">
        <is>
          <t>Marta Solís</t>
        </is>
      </c>
      <c r="F6" s="21" t="inlineStr">
        <is>
          <t>600 000 101</t>
        </is>
      </c>
      <c r="G6" s="32" t="n">
        <v>0.2708333333333333</v>
      </c>
      <c r="H6" s="32" t="n">
        <v>0.2916666666666667</v>
      </c>
      <c r="I6" s="32" t="n">
        <v>0.3125</v>
      </c>
      <c r="J6" s="32" t="n">
        <v>0.3333333333333333</v>
      </c>
      <c r="K6" s="32" t="n">
        <v>0.75</v>
      </c>
      <c r="L6" s="32" t="n">
        <v>0.7916666666666666</v>
      </c>
      <c r="M6" s="18" t="inlineStr">
        <is>
          <t>CAM-001</t>
        </is>
      </c>
      <c r="N6" s="23">
        <f>IF($M6="","",IFERROR(VLOOKUP($M6,Recursos!$A$6:$H$105,3,FALSE),"Código no encontrado"))</f>
        <v/>
      </c>
      <c r="O6" s="24">
        <f>IF($M6="","",IFERROR(VLOOKUP($M6,Recursos!$A$6:$H$105,2,FALSE),""))</f>
        <v/>
      </c>
      <c r="P6" s="25" t="n">
        <v>2</v>
      </c>
      <c r="Q6" s="24">
        <f>IF($M6="","",IFERROR(VLOOKUP($M6,Recursos!$A$6:$H$105,5,FALSE),""))</f>
        <v/>
      </c>
      <c r="R6" s="26">
        <f>IF($M6="","",IFERROR(VLOOKUP($M6,Recursos!$A$6:$H$105,4,FALSE),""))</f>
        <v/>
      </c>
      <c r="S6" s="27">
        <f>IF($M6="","",IFERROR(VLOOKUP($M6,Recursos!$A$6:$H$105,6,FALSE),""))</f>
        <v/>
      </c>
      <c r="T6" s="27">
        <f>IF(OR($P6="",$S6=""),"",ROUND($P6*$S6,2))</f>
        <v/>
      </c>
      <c r="U6" s="18" t="inlineStr">
        <is>
          <t>VEH-01</t>
        </is>
      </c>
      <c r="V6" s="18" t="inlineStr">
        <is>
          <t>Alta</t>
        </is>
      </c>
      <c r="W6" s="18" t="inlineStr">
        <is>
          <t>Preparado</t>
        </is>
      </c>
      <c r="X6" s="25" t="n">
        <v>0</v>
      </c>
      <c r="Y6" s="25" t="n">
        <v>0</v>
      </c>
      <c r="Z6" s="32" t="n"/>
      <c r="AA6" s="32" t="n"/>
      <c r="AB6" s="18" t="inlineStr">
        <is>
          <t>No</t>
        </is>
      </c>
      <c r="AC6" s="20" t="inlineStr">
        <is>
          <t>Cámara principal y respaldo</t>
        </is>
      </c>
      <c r="AD6" s="26">
        <f>IF($P6="","",MAX(0,$P6-N($X6)))</f>
        <v/>
      </c>
      <c r="AE6" s="23">
        <f>IF($A6="","",IF($M6="","Falta recurso",IF(IFERROR(VLOOKUP($M6,Recursos!$A$6:$H$105,7,FALSE),"No")&lt;&gt;"Sí","Recurso no activo",IF(OR($B6="",$H6="",$L6=""),"Faltan fecha u horarios",IF(OR($G6&gt;$H6,$H6&gt;$I6,$I6&gt;$J6,$J6&gt;$K6,$K6&gt;$L6),"Revisar secuencia horaria",IF(SUMPRODUCT(($B$6:$B$205=$B6)*($M$6:$M$205=$M6)*($H$6:$H$205&lt;$L6)*($L$6:$L$205&gt;$H6)*N($P$6:$P$205))&gt;N($R6),"Stock insuficiente",IF(AND($U6&lt;&gt;"",SUMPRODUCT(($B$6:$B$205=$B6)*($U$6:$U$205=$U6)*($A$6:$A$205&lt;&gt;$A6)*($H$6:$H$205&lt;$L6)*($L$6:$L$205&gt;$H6))&gt;0),"Vehículo solapado",IF(AND($Z6&lt;&gt;"",$J6&lt;&gt;"",$Z6&gt;$J6),"Entrega fuera de ventana",IF(AND($W6="Devuelto",N($Y6)&lt;N($X6)),"Devolución incompleta","")))))))))</f>
        <v/>
      </c>
      <c r="AF6" s="24">
        <f>IF($A6="","",IF(OR($B6="",$C6="",$D6="",$E6="",$H6="",$I6="",$J6="",$L6="",$M6="",$P6="",$U6="",$V6="",$W6=""),"Revisar",IF($AE6&lt;&gt;"","Revisar","Correcto")))</f>
        <v/>
      </c>
    </row>
    <row r="7">
      <c r="A7" s="18" t="inlineStr">
        <is>
          <t>EXP-001</t>
        </is>
      </c>
      <c r="B7" s="19" t="n">
        <v>46280</v>
      </c>
      <c r="C7" s="20" t="inlineStr">
        <is>
          <t>Plató Nube Norte</t>
        </is>
      </c>
      <c r="D7" s="20" t="inlineStr">
        <is>
          <t>Muelle ficticio A</t>
        </is>
      </c>
      <c r="E7" s="18" t="inlineStr">
        <is>
          <t>Marta Solís</t>
        </is>
      </c>
      <c r="F7" s="21" t="n"/>
      <c r="G7" s="32" t="n">
        <v>0.2708333333333333</v>
      </c>
      <c r="H7" s="32" t="n">
        <v>0.2916666666666667</v>
      </c>
      <c r="I7" s="32" t="n">
        <v>0.3125</v>
      </c>
      <c r="J7" s="32" t="n">
        <v>0.3333333333333333</v>
      </c>
      <c r="K7" s="32" t="n">
        <v>0.75</v>
      </c>
      <c r="L7" s="32" t="n">
        <v>0.7916666666666666</v>
      </c>
      <c r="M7" s="18" t="inlineStr">
        <is>
          <t>OPT-001</t>
        </is>
      </c>
      <c r="N7" s="23">
        <f>IF($M7="","",IFERROR(VLOOKUP($M7,Recursos!$A$6:$H$105,3,FALSE),"Código no encontrado"))</f>
        <v/>
      </c>
      <c r="O7" s="24">
        <f>IF($M7="","",IFERROR(VLOOKUP($M7,Recursos!$A$6:$H$105,2,FALSE),""))</f>
        <v/>
      </c>
      <c r="P7" s="25" t="n">
        <v>1</v>
      </c>
      <c r="Q7" s="24">
        <f>IF($M7="","",IFERROR(VLOOKUP($M7,Recursos!$A$6:$H$105,5,FALSE),""))</f>
        <v/>
      </c>
      <c r="R7" s="26">
        <f>IF($M7="","",IFERROR(VLOOKUP($M7,Recursos!$A$6:$H$105,4,FALSE),""))</f>
        <v/>
      </c>
      <c r="S7" s="27">
        <f>IF($M7="","",IFERROR(VLOOKUP($M7,Recursos!$A$6:$H$105,6,FALSE),""))</f>
        <v/>
      </c>
      <c r="T7" s="27">
        <f>IF(OR($P7="",$S7=""),"",ROUND($P7*$S7,2))</f>
        <v/>
      </c>
      <c r="U7" s="18" t="inlineStr">
        <is>
          <t>VEH-01</t>
        </is>
      </c>
      <c r="V7" s="18" t="inlineStr">
        <is>
          <t>Alta</t>
        </is>
      </c>
      <c r="W7" s="18" t="inlineStr">
        <is>
          <t>Preparado</t>
        </is>
      </c>
      <c r="X7" s="25" t="n">
        <v>0</v>
      </c>
      <c r="Y7" s="25" t="n">
        <v>0</v>
      </c>
      <c r="Z7" s="32" t="n"/>
      <c r="AA7" s="32" t="n"/>
      <c r="AB7" s="18" t="inlineStr">
        <is>
          <t>No</t>
        </is>
      </c>
      <c r="AC7" s="20" t="inlineStr">
        <is>
          <t>Juego de ópticas</t>
        </is>
      </c>
      <c r="AD7" s="26">
        <f>IF($P7="","",MAX(0,$P7-N($X7)))</f>
        <v/>
      </c>
      <c r="AE7" s="23">
        <f>IF($A7="","",IF($M7="","Falta recurso",IF(IFERROR(VLOOKUP($M7,Recursos!$A$6:$H$105,7,FALSE),"No")&lt;&gt;"Sí","Recurso no activo",IF(OR($B7="",$H7="",$L7=""),"Faltan fecha u horarios",IF(OR($G7&gt;$H7,$H7&gt;$I7,$I7&gt;$J7,$J7&gt;$K7,$K7&gt;$L7),"Revisar secuencia horaria",IF(SUMPRODUCT(($B$6:$B$205=$B7)*($M$6:$M$205=$M7)*($H$6:$H$205&lt;$L7)*($L$6:$L$205&gt;$H7)*N($P$6:$P$205))&gt;N($R7),"Stock insuficiente",IF(AND($U7&lt;&gt;"",SUMPRODUCT(($B$6:$B$205=$B7)*($U$6:$U$205=$U7)*($A$6:$A$205&lt;&gt;$A7)*($H$6:$H$205&lt;$L7)*($L$6:$L$205&gt;$H7))&gt;0),"Vehículo solapado",IF(AND($Z7&lt;&gt;"",$J7&lt;&gt;"",$Z7&gt;$J7),"Entrega fuera de ventana",IF(AND($W7="Devuelto",N($Y7)&lt;N($X7)),"Devolución incompleta","")))))))))</f>
        <v/>
      </c>
      <c r="AF7" s="24">
        <f>IF($A7="","",IF(OR($B7="",$C7="",$D7="",$E7="",$H7="",$I7="",$J7="",$L7="",$M7="",$P7="",$U7="",$V7="",$W7=""),"Revisar",IF($AE7&lt;&gt;"","Revisar","Correcto")))</f>
        <v/>
      </c>
    </row>
    <row r="8">
      <c r="A8" s="18" t="inlineStr">
        <is>
          <t>EXP-001</t>
        </is>
      </c>
      <c r="B8" s="19" t="n">
        <v>46280</v>
      </c>
      <c r="C8" s="20" t="inlineStr">
        <is>
          <t>Plató Nube Norte</t>
        </is>
      </c>
      <c r="D8" s="20" t="inlineStr">
        <is>
          <t>Muelle ficticio A</t>
        </is>
      </c>
      <c r="E8" s="18" t="inlineStr">
        <is>
          <t>Marta Solís</t>
        </is>
      </c>
      <c r="F8" s="21" t="n"/>
      <c r="G8" s="32" t="n">
        <v>0.2708333333333333</v>
      </c>
      <c r="H8" s="32" t="n">
        <v>0.2916666666666667</v>
      </c>
      <c r="I8" s="32" t="n">
        <v>0.3125</v>
      </c>
      <c r="J8" s="32" t="n">
        <v>0.3333333333333333</v>
      </c>
      <c r="K8" s="32" t="n">
        <v>0.75</v>
      </c>
      <c r="L8" s="32" t="n">
        <v>0.7916666666666666</v>
      </c>
      <c r="M8" s="18" t="inlineStr">
        <is>
          <t>LUZ-001</t>
        </is>
      </c>
      <c r="N8" s="23">
        <f>IF($M8="","",IFERROR(VLOOKUP($M8,Recursos!$A$6:$H$105,3,FALSE),"Código no encontrado"))</f>
        <v/>
      </c>
      <c r="O8" s="24">
        <f>IF($M8="","",IFERROR(VLOOKUP($M8,Recursos!$A$6:$H$105,2,FALSE),""))</f>
        <v/>
      </c>
      <c r="P8" s="25" t="n">
        <v>4</v>
      </c>
      <c r="Q8" s="24">
        <f>IF($M8="","",IFERROR(VLOOKUP($M8,Recursos!$A$6:$H$105,5,FALSE),""))</f>
        <v/>
      </c>
      <c r="R8" s="26">
        <f>IF($M8="","",IFERROR(VLOOKUP($M8,Recursos!$A$6:$H$105,4,FALSE),""))</f>
        <v/>
      </c>
      <c r="S8" s="27">
        <f>IF($M8="","",IFERROR(VLOOKUP($M8,Recursos!$A$6:$H$105,6,FALSE),""))</f>
        <v/>
      </c>
      <c r="T8" s="27">
        <f>IF(OR($P8="",$S8=""),"",ROUND($P8*$S8,2))</f>
        <v/>
      </c>
      <c r="U8" s="18" t="inlineStr">
        <is>
          <t>VEH-01</t>
        </is>
      </c>
      <c r="V8" s="18" t="inlineStr">
        <is>
          <t>Alta</t>
        </is>
      </c>
      <c r="W8" s="18" t="inlineStr">
        <is>
          <t>Preparado</t>
        </is>
      </c>
      <c r="X8" s="25" t="n">
        <v>0</v>
      </c>
      <c r="Y8" s="25" t="n">
        <v>0</v>
      </c>
      <c r="Z8" s="32" t="n"/>
      <c r="AA8" s="32" t="n"/>
      <c r="AB8" s="18" t="inlineStr">
        <is>
          <t>No</t>
        </is>
      </c>
      <c r="AC8" s="20" t="inlineStr">
        <is>
          <t>Revisar embalaje</t>
        </is>
      </c>
      <c r="AD8" s="26">
        <f>IF($P8="","",MAX(0,$P8-N($X8)))</f>
        <v/>
      </c>
      <c r="AE8" s="23">
        <f>IF($A8="","",IF($M8="","Falta recurso",IF(IFERROR(VLOOKUP($M8,Recursos!$A$6:$H$105,7,FALSE),"No")&lt;&gt;"Sí","Recurso no activo",IF(OR($B8="",$H8="",$L8=""),"Faltan fecha u horarios",IF(OR($G8&gt;$H8,$H8&gt;$I8,$I8&gt;$J8,$J8&gt;$K8,$K8&gt;$L8),"Revisar secuencia horaria",IF(SUMPRODUCT(($B$6:$B$205=$B8)*($M$6:$M$205=$M8)*($H$6:$H$205&lt;$L8)*($L$6:$L$205&gt;$H8)*N($P$6:$P$205))&gt;N($R8),"Stock insuficiente",IF(AND($U8&lt;&gt;"",SUMPRODUCT(($B$6:$B$205=$B8)*($U$6:$U$205=$U8)*($A$6:$A$205&lt;&gt;$A8)*($H$6:$H$205&lt;$L8)*($L$6:$L$205&gt;$H8))&gt;0),"Vehículo solapado",IF(AND($Z8&lt;&gt;"",$J8&lt;&gt;"",$Z8&gt;$J8),"Entrega fuera de ventana",IF(AND($W8="Devuelto",N($Y8)&lt;N($X8)),"Devolución incompleta","")))))))))</f>
        <v/>
      </c>
      <c r="AF8" s="24">
        <f>IF($A8="","",IF(OR($B8="",$C8="",$D8="",$E8="",$H8="",$I8="",$J8="",$L8="",$M8="",$P8="",$U8="",$V8="",$W8=""),"Revisar",IF($AE8&lt;&gt;"","Revisar","Correcto")))</f>
        <v/>
      </c>
    </row>
    <row r="9">
      <c r="A9" s="18" t="inlineStr">
        <is>
          <t>EXP-002</t>
        </is>
      </c>
      <c r="B9" s="19" t="n">
        <v>46280</v>
      </c>
      <c r="C9" s="20" t="inlineStr">
        <is>
          <t>Jardín Horizonte</t>
        </is>
      </c>
      <c r="D9" s="20" t="inlineStr">
        <is>
          <t>Acceso ficticio oeste</t>
        </is>
      </c>
      <c r="E9" s="18" t="inlineStr">
        <is>
          <t>Diego Marín</t>
        </is>
      </c>
      <c r="F9" s="21" t="inlineStr">
        <is>
          <t>600 000 102</t>
        </is>
      </c>
      <c r="G9" s="32" t="n">
        <v>0.3333333333333333</v>
      </c>
      <c r="H9" s="32" t="n">
        <v>0.3541666666666667</v>
      </c>
      <c r="I9" s="32" t="n">
        <v>0.375</v>
      </c>
      <c r="J9" s="32" t="n">
        <v>0.3958333333333333</v>
      </c>
      <c r="K9" s="32" t="n">
        <v>0.6875</v>
      </c>
      <c r="L9" s="32" t="n">
        <v>0.7291666666666666</v>
      </c>
      <c r="M9" s="18" t="inlineStr">
        <is>
          <t>SON-001</t>
        </is>
      </c>
      <c r="N9" s="23">
        <f>IF($M9="","",IFERROR(VLOOKUP($M9,Recursos!$A$6:$H$105,3,FALSE),"Código no encontrado"))</f>
        <v/>
      </c>
      <c r="O9" s="24">
        <f>IF($M9="","",IFERROR(VLOOKUP($M9,Recursos!$A$6:$H$105,2,FALSE),""))</f>
        <v/>
      </c>
      <c r="P9" s="25" t="n">
        <v>2</v>
      </c>
      <c r="Q9" s="24">
        <f>IF($M9="","",IFERROR(VLOOKUP($M9,Recursos!$A$6:$H$105,5,FALSE),""))</f>
        <v/>
      </c>
      <c r="R9" s="26">
        <f>IF($M9="","",IFERROR(VLOOKUP($M9,Recursos!$A$6:$H$105,4,FALSE),""))</f>
        <v/>
      </c>
      <c r="S9" s="27">
        <f>IF($M9="","",IFERROR(VLOOKUP($M9,Recursos!$A$6:$H$105,6,FALSE),""))</f>
        <v/>
      </c>
      <c r="T9" s="27">
        <f>IF(OR($P9="",$S9=""),"",ROUND($P9*$S9,2))</f>
        <v/>
      </c>
      <c r="U9" s="18" t="inlineStr">
        <is>
          <t>VEH-02</t>
        </is>
      </c>
      <c r="V9" s="18" t="inlineStr">
        <is>
          <t>Normal</t>
        </is>
      </c>
      <c r="W9" s="18" t="inlineStr">
        <is>
          <t>En tránsito</t>
        </is>
      </c>
      <c r="X9" s="25" t="n">
        <v>2</v>
      </c>
      <c r="Y9" s="25" t="n">
        <v>0</v>
      </c>
      <c r="Z9" s="32" t="n">
        <v>0.3833333333333334</v>
      </c>
      <c r="AA9" s="32" t="n"/>
      <c r="AB9" s="18" t="inlineStr">
        <is>
          <t>No</t>
        </is>
      </c>
      <c r="AC9" s="20" t="inlineStr">
        <is>
          <t>Entrega dentro de ventana</t>
        </is>
      </c>
      <c r="AD9" s="26">
        <f>IF($P9="","",MAX(0,$P9-N($X9)))</f>
        <v/>
      </c>
      <c r="AE9" s="23">
        <f>IF($A9="","",IF($M9="","Falta recurso",IF(IFERROR(VLOOKUP($M9,Recursos!$A$6:$H$105,7,FALSE),"No")&lt;&gt;"Sí","Recurso no activo",IF(OR($B9="",$H9="",$L9=""),"Faltan fecha u horarios",IF(OR($G9&gt;$H9,$H9&gt;$I9,$I9&gt;$J9,$J9&gt;$K9,$K9&gt;$L9),"Revisar secuencia horaria",IF(SUMPRODUCT(($B$6:$B$205=$B9)*($M$6:$M$205=$M9)*($H$6:$H$205&lt;$L9)*($L$6:$L$205&gt;$H9)*N($P$6:$P$205))&gt;N($R9),"Stock insuficiente",IF(AND($U9&lt;&gt;"",SUMPRODUCT(($B$6:$B$205=$B9)*($U$6:$U$205=$U9)*($A$6:$A$205&lt;&gt;$A9)*($H$6:$H$205&lt;$L9)*($L$6:$L$205&gt;$H9))&gt;0),"Vehículo solapado",IF(AND($Z9&lt;&gt;"",$J9&lt;&gt;"",$Z9&gt;$J9),"Entrega fuera de ventana",IF(AND($W9="Devuelto",N($Y9)&lt;N($X9)),"Devolución incompleta","")))))))))</f>
        <v/>
      </c>
      <c r="AF9" s="24">
        <f>IF($A9="","",IF(OR($B9="",$C9="",$D9="",$E9="",$H9="",$I9="",$J9="",$L9="",$M9="",$P9="",$U9="",$V9="",$W9=""),"Revisar",IF($AE9&lt;&gt;"","Revisar","Correcto")))</f>
        <v/>
      </c>
    </row>
    <row r="10">
      <c r="A10" s="18" t="inlineStr">
        <is>
          <t>EXP-002</t>
        </is>
      </c>
      <c r="B10" s="19" t="n">
        <v>46280</v>
      </c>
      <c r="C10" s="20" t="inlineStr">
        <is>
          <t>Jardín Horizonte</t>
        </is>
      </c>
      <c r="D10" s="20" t="inlineStr">
        <is>
          <t>Acceso ficticio oeste</t>
        </is>
      </c>
      <c r="E10" s="18" t="inlineStr">
        <is>
          <t>Diego Marín</t>
        </is>
      </c>
      <c r="F10" s="21" t="n"/>
      <c r="G10" s="32" t="n">
        <v>0.3333333333333333</v>
      </c>
      <c r="H10" s="32" t="n">
        <v>0.3541666666666667</v>
      </c>
      <c r="I10" s="32" t="n">
        <v>0.375</v>
      </c>
      <c r="J10" s="32" t="n">
        <v>0.3958333333333333</v>
      </c>
      <c r="K10" s="32" t="n">
        <v>0.6875</v>
      </c>
      <c r="L10" s="32" t="n">
        <v>0.7291666666666666</v>
      </c>
      <c r="M10" s="18" t="inlineStr">
        <is>
          <t>ENE-001</t>
        </is>
      </c>
      <c r="N10" s="23">
        <f>IF($M10="","",IFERROR(VLOOKUP($M10,Recursos!$A$6:$H$105,3,FALSE),"Código no encontrado"))</f>
        <v/>
      </c>
      <c r="O10" s="24">
        <f>IF($M10="","",IFERROR(VLOOKUP($M10,Recursos!$A$6:$H$105,2,FALSE),""))</f>
        <v/>
      </c>
      <c r="P10" s="25" t="n">
        <v>6</v>
      </c>
      <c r="Q10" s="24">
        <f>IF($M10="","",IFERROR(VLOOKUP($M10,Recursos!$A$6:$H$105,5,FALSE),""))</f>
        <v/>
      </c>
      <c r="R10" s="26">
        <f>IF($M10="","",IFERROR(VLOOKUP($M10,Recursos!$A$6:$H$105,4,FALSE),""))</f>
        <v/>
      </c>
      <c r="S10" s="27">
        <f>IF($M10="","",IFERROR(VLOOKUP($M10,Recursos!$A$6:$H$105,6,FALSE),""))</f>
        <v/>
      </c>
      <c r="T10" s="27">
        <f>IF(OR($P10="",$S10=""),"",ROUND($P10*$S10,2))</f>
        <v/>
      </c>
      <c r="U10" s="18" t="inlineStr">
        <is>
          <t>VEH-02</t>
        </is>
      </c>
      <c r="V10" s="18" t="inlineStr">
        <is>
          <t>Normal</t>
        </is>
      </c>
      <c r="W10" s="18" t="inlineStr">
        <is>
          <t>En tránsito</t>
        </is>
      </c>
      <c r="X10" s="25" t="n">
        <v>6</v>
      </c>
      <c r="Y10" s="25" t="n">
        <v>0</v>
      </c>
      <c r="Z10" s="32" t="n">
        <v>0.3833333333333334</v>
      </c>
      <c r="AA10" s="32" t="n"/>
      <c r="AB10" s="18" t="inlineStr">
        <is>
          <t>No</t>
        </is>
      </c>
      <c r="AC10" s="20" t="inlineStr">
        <is>
          <t>Baterías cargadas</t>
        </is>
      </c>
      <c r="AD10" s="26">
        <f>IF($P10="","",MAX(0,$P10-N($X10)))</f>
        <v/>
      </c>
      <c r="AE10" s="23">
        <f>IF($A10="","",IF($M10="","Falta recurso",IF(IFERROR(VLOOKUP($M10,Recursos!$A$6:$H$105,7,FALSE),"No")&lt;&gt;"Sí","Recurso no activo",IF(OR($B10="",$H10="",$L10=""),"Faltan fecha u horarios",IF(OR($G10&gt;$H10,$H10&gt;$I10,$I10&gt;$J10,$J10&gt;$K10,$K10&gt;$L10),"Revisar secuencia horaria",IF(SUMPRODUCT(($B$6:$B$205=$B10)*($M$6:$M$205=$M10)*($H$6:$H$205&lt;$L10)*($L$6:$L$205&gt;$H10)*N($P$6:$P$205))&gt;N($R10),"Stock insuficiente",IF(AND($U10&lt;&gt;"",SUMPRODUCT(($B$6:$B$205=$B10)*($U$6:$U$205=$U10)*($A$6:$A$205&lt;&gt;$A10)*($H$6:$H$205&lt;$L10)*($L$6:$L$205&gt;$H10))&gt;0),"Vehículo solapado",IF(AND($Z10&lt;&gt;"",$J10&lt;&gt;"",$Z10&gt;$J10),"Entrega fuera de ventana",IF(AND($W10="Devuelto",N($Y10)&lt;N($X10)),"Devolución incompleta","")))))))))</f>
        <v/>
      </c>
      <c r="AF10" s="24">
        <f>IF($A10="","",IF(OR($B10="",$C10="",$D10="",$E10="",$H10="",$I10="",$J10="",$L10="",$M10="",$P10="",$U10="",$V10="",$W10=""),"Revisar",IF($AE10&lt;&gt;"","Revisar","Correcto")))</f>
        <v/>
      </c>
    </row>
    <row r="11">
      <c r="A11" s="18" t="inlineStr">
        <is>
          <t>EXP-003</t>
        </is>
      </c>
      <c r="B11" s="19" t="n">
        <v>46281</v>
      </c>
      <c r="C11" s="20" t="inlineStr">
        <is>
          <t>Nave Prisma 7</t>
        </is>
      </c>
      <c r="D11" s="20" t="inlineStr">
        <is>
          <t>Puerta técnica ficticia</t>
        </is>
      </c>
      <c r="E11" s="18" t="inlineStr">
        <is>
          <t>Lucía Vega</t>
        </is>
      </c>
      <c r="F11" s="21" t="inlineStr">
        <is>
          <t>600 000 103</t>
        </is>
      </c>
      <c r="G11" s="32" t="n">
        <v>0.2395833333333333</v>
      </c>
      <c r="H11" s="32" t="n">
        <v>0.2604166666666667</v>
      </c>
      <c r="I11" s="32" t="n">
        <v>0.2916666666666667</v>
      </c>
      <c r="J11" s="32" t="n">
        <v>0.3055555555555556</v>
      </c>
      <c r="K11" s="32" t="n">
        <v>0.8333333333333334</v>
      </c>
      <c r="L11" s="32" t="n">
        <v>0.875</v>
      </c>
      <c r="M11" s="18" t="inlineStr">
        <is>
          <t>CAM-001</t>
        </is>
      </c>
      <c r="N11" s="23">
        <f>IF($M11="","",IFERROR(VLOOKUP($M11,Recursos!$A$6:$H$105,3,FALSE),"Código no encontrado"))</f>
        <v/>
      </c>
      <c r="O11" s="24">
        <f>IF($M11="","",IFERROR(VLOOKUP($M11,Recursos!$A$6:$H$105,2,FALSE),""))</f>
        <v/>
      </c>
      <c r="P11" s="25" t="n">
        <v>3</v>
      </c>
      <c r="Q11" s="24">
        <f>IF($M11="","",IFERROR(VLOOKUP($M11,Recursos!$A$6:$H$105,5,FALSE),""))</f>
        <v/>
      </c>
      <c r="R11" s="26">
        <f>IF($M11="","",IFERROR(VLOOKUP($M11,Recursos!$A$6:$H$105,4,FALSE),""))</f>
        <v/>
      </c>
      <c r="S11" s="27">
        <f>IF($M11="","",IFERROR(VLOOKUP($M11,Recursos!$A$6:$H$105,6,FALSE),""))</f>
        <v/>
      </c>
      <c r="T11" s="27">
        <f>IF(OR($P11="",$S11=""),"",ROUND($P11*$S11,2))</f>
        <v/>
      </c>
      <c r="U11" s="18" t="inlineStr">
        <is>
          <t>VEH-03</t>
        </is>
      </c>
      <c r="V11" s="18" t="inlineStr">
        <is>
          <t>Crítica</t>
        </is>
      </c>
      <c r="W11" s="18" t="inlineStr">
        <is>
          <t>Pendiente</t>
        </is>
      </c>
      <c r="X11" s="25" t="n">
        <v>0</v>
      </c>
      <c r="Y11" s="25" t="n">
        <v>0</v>
      </c>
      <c r="Z11" s="32" t="n"/>
      <c r="AA11" s="32" t="n"/>
      <c r="AB11" s="18" t="inlineStr">
        <is>
          <t>No</t>
        </is>
      </c>
      <c r="AC11" s="20" t="inlineStr">
        <is>
          <t>Ejemplo de stock concurrente</t>
        </is>
      </c>
      <c r="AD11" s="26">
        <f>IF($P11="","",MAX(0,$P11-N($X11)))</f>
        <v/>
      </c>
      <c r="AE11" s="23">
        <f>IF($A11="","",IF($M11="","Falta recurso",IF(IFERROR(VLOOKUP($M11,Recursos!$A$6:$H$105,7,FALSE),"No")&lt;&gt;"Sí","Recurso no activo",IF(OR($B11="",$H11="",$L11=""),"Faltan fecha u horarios",IF(OR($G11&gt;$H11,$H11&gt;$I11,$I11&gt;$J11,$J11&gt;$K11,$K11&gt;$L11),"Revisar secuencia horaria",IF(SUMPRODUCT(($B$6:$B$205=$B11)*($M$6:$M$205=$M11)*($H$6:$H$205&lt;$L11)*($L$6:$L$205&gt;$H11)*N($P$6:$P$205))&gt;N($R11),"Stock insuficiente",IF(AND($U11&lt;&gt;"",SUMPRODUCT(($B$6:$B$205=$B11)*($U$6:$U$205=$U11)*($A$6:$A$205&lt;&gt;$A11)*($H$6:$H$205&lt;$L11)*($L$6:$L$205&gt;$H11))&gt;0),"Vehículo solapado",IF(AND($Z11&lt;&gt;"",$J11&lt;&gt;"",$Z11&gt;$J11),"Entrega fuera de ventana",IF(AND($W11="Devuelto",N($Y11)&lt;N($X11)),"Devolución incompleta","")))))))))</f>
        <v/>
      </c>
      <c r="AF11" s="24">
        <f>IF($A11="","",IF(OR($B11="",$C11="",$D11="",$E11="",$H11="",$I11="",$J11="",$L11="",$M11="",$P11="",$U11="",$V11="",$W11=""),"Revisar",IF($AE11&lt;&gt;"","Revisar","Correcto")))</f>
        <v/>
      </c>
    </row>
    <row r="12">
      <c r="A12" s="18" t="inlineStr">
        <is>
          <t>EXP-003</t>
        </is>
      </c>
      <c r="B12" s="19" t="n">
        <v>46281</v>
      </c>
      <c r="C12" s="20" t="inlineStr">
        <is>
          <t>Nave Prisma 7</t>
        </is>
      </c>
      <c r="D12" s="20" t="inlineStr">
        <is>
          <t>Puerta técnica ficticia</t>
        </is>
      </c>
      <c r="E12" s="18" t="inlineStr">
        <is>
          <t>Lucía Vega</t>
        </is>
      </c>
      <c r="F12" s="21" t="n"/>
      <c r="G12" s="32" t="n">
        <v>0.2395833333333333</v>
      </c>
      <c r="H12" s="32" t="n">
        <v>0.2604166666666667</v>
      </c>
      <c r="I12" s="32" t="n">
        <v>0.2916666666666667</v>
      </c>
      <c r="J12" s="32" t="n">
        <v>0.3055555555555556</v>
      </c>
      <c r="K12" s="32" t="n">
        <v>0.8333333333333334</v>
      </c>
      <c r="L12" s="32" t="n">
        <v>0.875</v>
      </c>
      <c r="M12" s="18" t="inlineStr">
        <is>
          <t>SOP-001</t>
        </is>
      </c>
      <c r="N12" s="23">
        <f>IF($M12="","",IFERROR(VLOOKUP($M12,Recursos!$A$6:$H$105,3,FALSE),"Código no encontrado"))</f>
        <v/>
      </c>
      <c r="O12" s="24">
        <f>IF($M12="","",IFERROR(VLOOKUP($M12,Recursos!$A$6:$H$105,2,FALSE),""))</f>
        <v/>
      </c>
      <c r="P12" s="25" t="n">
        <v>3</v>
      </c>
      <c r="Q12" s="24">
        <f>IF($M12="","",IFERROR(VLOOKUP($M12,Recursos!$A$6:$H$105,5,FALSE),""))</f>
        <v/>
      </c>
      <c r="R12" s="26">
        <f>IF($M12="","",IFERROR(VLOOKUP($M12,Recursos!$A$6:$H$105,4,FALSE),""))</f>
        <v/>
      </c>
      <c r="S12" s="27">
        <f>IF($M12="","",IFERROR(VLOOKUP($M12,Recursos!$A$6:$H$105,6,FALSE),""))</f>
        <v/>
      </c>
      <c r="T12" s="27">
        <f>IF(OR($P12="",$S12=""),"",ROUND($P12*$S12,2))</f>
        <v/>
      </c>
      <c r="U12" s="18" t="inlineStr">
        <is>
          <t>VEH-03</t>
        </is>
      </c>
      <c r="V12" s="18" t="inlineStr">
        <is>
          <t>Alta</t>
        </is>
      </c>
      <c r="W12" s="18" t="inlineStr">
        <is>
          <t>Pendiente</t>
        </is>
      </c>
      <c r="X12" s="25" t="n">
        <v>0</v>
      </c>
      <c r="Y12" s="25" t="n">
        <v>0</v>
      </c>
      <c r="Z12" s="32" t="n"/>
      <c r="AA12" s="32" t="n"/>
      <c r="AB12" s="18" t="inlineStr">
        <is>
          <t>No</t>
        </is>
      </c>
      <c r="AC12" s="20" t="inlineStr">
        <is>
          <t>Trípodes de cámara</t>
        </is>
      </c>
      <c r="AD12" s="26">
        <f>IF($P12="","",MAX(0,$P12-N($X12)))</f>
        <v/>
      </c>
      <c r="AE12" s="23">
        <f>IF($A12="","",IF($M12="","Falta recurso",IF(IFERROR(VLOOKUP($M12,Recursos!$A$6:$H$105,7,FALSE),"No")&lt;&gt;"Sí","Recurso no activo",IF(OR($B12="",$H12="",$L12=""),"Faltan fecha u horarios",IF(OR($G12&gt;$H12,$H12&gt;$I12,$I12&gt;$J12,$J12&gt;$K12,$K12&gt;$L12),"Revisar secuencia horaria",IF(SUMPRODUCT(($B$6:$B$205=$B12)*($M$6:$M$205=$M12)*($H$6:$H$205&lt;$L12)*($L$6:$L$205&gt;$H12)*N($P$6:$P$205))&gt;N($R12),"Stock insuficiente",IF(AND($U12&lt;&gt;"",SUMPRODUCT(($B$6:$B$205=$B12)*($U$6:$U$205=$U12)*($A$6:$A$205&lt;&gt;$A12)*($H$6:$H$205&lt;$L12)*($L$6:$L$205&gt;$H12))&gt;0),"Vehículo solapado",IF(AND($Z12&lt;&gt;"",$J12&lt;&gt;"",$Z12&gt;$J12),"Entrega fuera de ventana",IF(AND($W12="Devuelto",N($Y12)&lt;N($X12)),"Devolución incompleta","")))))))))</f>
        <v/>
      </c>
      <c r="AF12" s="24">
        <f>IF($A12="","",IF(OR($B12="",$C12="",$D12="",$E12="",$H12="",$I12="",$J12="",$L12="",$M12="",$P12="",$U12="",$V12="",$W12=""),"Revisar",IF($AE12&lt;&gt;"","Revisar","Correcto")))</f>
        <v/>
      </c>
    </row>
    <row r="13">
      <c r="A13" s="18" t="inlineStr">
        <is>
          <t>EXP-004</t>
        </is>
      </c>
      <c r="B13" s="19" t="n">
        <v>46281</v>
      </c>
      <c r="C13" s="20" t="inlineStr">
        <is>
          <t>Mirador Cobalto</t>
        </is>
      </c>
      <c r="D13" s="20" t="inlineStr">
        <is>
          <t>Aparcamiento ficticio P2</t>
        </is>
      </c>
      <c r="E13" s="18" t="inlineStr">
        <is>
          <t>Óscar Rivas</t>
        </is>
      </c>
      <c r="F13" s="21" t="inlineStr">
        <is>
          <t>600 000 104</t>
        </is>
      </c>
      <c r="G13" s="32" t="n">
        <v>0.25</v>
      </c>
      <c r="H13" s="32" t="n">
        <v>0.28125</v>
      </c>
      <c r="I13" s="32" t="n">
        <v>0.3125</v>
      </c>
      <c r="J13" s="32" t="n">
        <v>0.3333333333333333</v>
      </c>
      <c r="K13" s="32" t="n">
        <v>0.5833333333333334</v>
      </c>
      <c r="L13" s="32" t="n">
        <v>0.6458333333333334</v>
      </c>
      <c r="M13" s="18" t="inlineStr">
        <is>
          <t>CAM-001</t>
        </is>
      </c>
      <c r="N13" s="23">
        <f>IF($M13="","",IFERROR(VLOOKUP($M13,Recursos!$A$6:$H$105,3,FALSE),"Código no encontrado"))</f>
        <v/>
      </c>
      <c r="O13" s="24">
        <f>IF($M13="","",IFERROR(VLOOKUP($M13,Recursos!$A$6:$H$105,2,FALSE),""))</f>
        <v/>
      </c>
      <c r="P13" s="25" t="n">
        <v>2</v>
      </c>
      <c r="Q13" s="24">
        <f>IF($M13="","",IFERROR(VLOOKUP($M13,Recursos!$A$6:$H$105,5,FALSE),""))</f>
        <v/>
      </c>
      <c r="R13" s="26">
        <f>IF($M13="","",IFERROR(VLOOKUP($M13,Recursos!$A$6:$H$105,4,FALSE),""))</f>
        <v/>
      </c>
      <c r="S13" s="27">
        <f>IF($M13="","",IFERROR(VLOOKUP($M13,Recursos!$A$6:$H$105,6,FALSE),""))</f>
        <v/>
      </c>
      <c r="T13" s="27">
        <f>IF(OR($P13="",$S13=""),"",ROUND($P13*$S13,2))</f>
        <v/>
      </c>
      <c r="U13" s="18" t="inlineStr">
        <is>
          <t>VEH-03</t>
        </is>
      </c>
      <c r="V13" s="18" t="inlineStr">
        <is>
          <t>Alta</t>
        </is>
      </c>
      <c r="W13" s="18" t="inlineStr">
        <is>
          <t>Borrador</t>
        </is>
      </c>
      <c r="X13" s="25" t="n">
        <v>0</v>
      </c>
      <c r="Y13" s="25" t="n">
        <v>0</v>
      </c>
      <c r="Z13" s="32" t="n"/>
      <c r="AA13" s="32" t="n"/>
      <c r="AB13" s="18" t="inlineStr">
        <is>
          <t>No</t>
        </is>
      </c>
      <c r="AC13" s="20" t="inlineStr">
        <is>
          <t>Coincide con EXP-003 para probar alertas</t>
        </is>
      </c>
      <c r="AD13" s="26">
        <f>IF($P13="","",MAX(0,$P13-N($X13)))</f>
        <v/>
      </c>
      <c r="AE13" s="23">
        <f>IF($A13="","",IF($M13="","Falta recurso",IF(IFERROR(VLOOKUP($M13,Recursos!$A$6:$H$105,7,FALSE),"No")&lt;&gt;"Sí","Recurso no activo",IF(OR($B13="",$H13="",$L13=""),"Faltan fecha u horarios",IF(OR($G13&gt;$H13,$H13&gt;$I13,$I13&gt;$J13,$J13&gt;$K13,$K13&gt;$L13),"Revisar secuencia horaria",IF(SUMPRODUCT(($B$6:$B$205=$B13)*($M$6:$M$205=$M13)*($H$6:$H$205&lt;$L13)*($L$6:$L$205&gt;$H13)*N($P$6:$P$205))&gt;N($R13),"Stock insuficiente",IF(AND($U13&lt;&gt;"",SUMPRODUCT(($B$6:$B$205=$B13)*($U$6:$U$205=$U13)*($A$6:$A$205&lt;&gt;$A13)*($H$6:$H$205&lt;$L13)*($L$6:$L$205&gt;$H13))&gt;0),"Vehículo solapado",IF(AND($Z13&lt;&gt;"",$J13&lt;&gt;"",$Z13&gt;$J13),"Entrega fuera de ventana",IF(AND($W13="Devuelto",N($Y13)&lt;N($X13)),"Devolución incompleta","")))))))))</f>
        <v/>
      </c>
      <c r="AF13" s="24">
        <f>IF($A13="","",IF(OR($B13="",$C13="",$D13="",$E13="",$H13="",$I13="",$J13="",$L13="",$M13="",$P13="",$U13="",$V13="",$W13=""),"Revisar",IF($AE13&lt;&gt;"","Revisar","Correcto")))</f>
        <v/>
      </c>
    </row>
    <row r="14">
      <c r="A14" s="18" t="inlineStr">
        <is>
          <t>EXP-005</t>
        </is>
      </c>
      <c r="B14" s="19" t="n">
        <v>46282</v>
      </c>
      <c r="C14" s="20" t="inlineStr">
        <is>
          <t>Galería Lienzo Sur</t>
        </is>
      </c>
      <c r="D14" s="20" t="inlineStr">
        <is>
          <t>Entrada ficticia de carga</t>
        </is>
      </c>
      <c r="E14" s="18" t="inlineStr">
        <is>
          <t>Nuria Campos</t>
        </is>
      </c>
      <c r="F14" s="21" t="inlineStr">
        <is>
          <t>600 000 105</t>
        </is>
      </c>
      <c r="G14" s="32" t="n">
        <v>0.375</v>
      </c>
      <c r="H14" s="32" t="n">
        <v>0.3958333333333333</v>
      </c>
      <c r="I14" s="32" t="n">
        <v>0.4166666666666667</v>
      </c>
      <c r="J14" s="32" t="n">
        <v>0.4375</v>
      </c>
      <c r="K14" s="32" t="n">
        <v>0.7916666666666666</v>
      </c>
      <c r="L14" s="32" t="n">
        <v>0.8333333333333334</v>
      </c>
      <c r="M14" s="18" t="inlineStr">
        <is>
          <t>LUZ-002</t>
        </is>
      </c>
      <c r="N14" s="23">
        <f>IF($M14="","",IFERROR(VLOOKUP($M14,Recursos!$A$6:$H$105,3,FALSE),"Código no encontrado"))</f>
        <v/>
      </c>
      <c r="O14" s="24">
        <f>IF($M14="","",IFERROR(VLOOKUP($M14,Recursos!$A$6:$H$105,2,FALSE),""))</f>
        <v/>
      </c>
      <c r="P14" s="25" t="n">
        <v>8</v>
      </c>
      <c r="Q14" s="24">
        <f>IF($M14="","",IFERROR(VLOOKUP($M14,Recursos!$A$6:$H$105,5,FALSE),""))</f>
        <v/>
      </c>
      <c r="R14" s="26">
        <f>IF($M14="","",IFERROR(VLOOKUP($M14,Recursos!$A$6:$H$105,4,FALSE),""))</f>
        <v/>
      </c>
      <c r="S14" s="27">
        <f>IF($M14="","",IFERROR(VLOOKUP($M14,Recursos!$A$6:$H$105,6,FALSE),""))</f>
        <v/>
      </c>
      <c r="T14" s="27">
        <f>IF(OR($P14="",$S14=""),"",ROUND($P14*$S14,2))</f>
        <v/>
      </c>
      <c r="U14" s="18" t="inlineStr">
        <is>
          <t>VEH-01</t>
        </is>
      </c>
      <c r="V14" s="18" t="inlineStr">
        <is>
          <t>Normal</t>
        </is>
      </c>
      <c r="W14" s="18" t="inlineStr">
        <is>
          <t>Entregado</t>
        </is>
      </c>
      <c r="X14" s="25" t="n">
        <v>8</v>
      </c>
      <c r="Y14" s="25" t="n">
        <v>0</v>
      </c>
      <c r="Z14" s="32" t="n">
        <v>0.4458333333333334</v>
      </c>
      <c r="AA14" s="32" t="n"/>
      <c r="AB14" s="18" t="inlineStr">
        <is>
          <t>Sí</t>
        </is>
      </c>
      <c r="AC14" s="20" t="inlineStr">
        <is>
          <t>Entrega posterior a la ventana</t>
        </is>
      </c>
      <c r="AD14" s="26">
        <f>IF($P14="","",MAX(0,$P14-N($X14)))</f>
        <v/>
      </c>
      <c r="AE14" s="23">
        <f>IF($A14="","",IF($M14="","Falta recurso",IF(IFERROR(VLOOKUP($M14,Recursos!$A$6:$H$105,7,FALSE),"No")&lt;&gt;"Sí","Recurso no activo",IF(OR($B14="",$H14="",$L14=""),"Faltan fecha u horarios",IF(OR($G14&gt;$H14,$H14&gt;$I14,$I14&gt;$J14,$J14&gt;$K14,$K14&gt;$L14),"Revisar secuencia horaria",IF(SUMPRODUCT(($B$6:$B$205=$B14)*($M$6:$M$205=$M14)*($H$6:$H$205&lt;$L14)*($L$6:$L$205&gt;$H14)*N($P$6:$P$205))&gt;N($R14),"Stock insuficiente",IF(AND($U14&lt;&gt;"",SUMPRODUCT(($B$6:$B$205=$B14)*($U$6:$U$205=$U14)*($A$6:$A$205&lt;&gt;$A14)*($H$6:$H$205&lt;$L14)*($L$6:$L$205&gt;$H14))&gt;0),"Vehículo solapado",IF(AND($Z14&lt;&gt;"",$J14&lt;&gt;"",$Z14&gt;$J14),"Entrega fuera de ventana",IF(AND($W14="Devuelto",N($Y14)&lt;N($X14)),"Devolución incompleta","")))))))))</f>
        <v/>
      </c>
      <c r="AF14" s="24">
        <f>IF($A14="","",IF(OR($B14="",$C14="",$D14="",$E14="",$H14="",$I14="",$J14="",$L14="",$M14="",$P14="",$U14="",$V14="",$W14=""),"Revisar",IF($AE14&lt;&gt;"","Revisar","Correcto")))</f>
        <v/>
      </c>
    </row>
    <row r="15">
      <c r="A15" s="18" t="inlineStr">
        <is>
          <t>EXP-006</t>
        </is>
      </c>
      <c r="B15" s="19" t="n">
        <v>46283</v>
      </c>
      <c r="C15" s="20" t="inlineStr">
        <is>
          <t>Estudio Bruma</t>
        </is>
      </c>
      <c r="D15" s="20" t="inlineStr">
        <is>
          <t>Recepción ficticia</t>
        </is>
      </c>
      <c r="E15" s="18" t="inlineStr">
        <is>
          <t>Iker Montes</t>
        </is>
      </c>
      <c r="F15" s="21" t="inlineStr">
        <is>
          <t>600 000 106</t>
        </is>
      </c>
      <c r="G15" s="32" t="n">
        <v>0.2916666666666667</v>
      </c>
      <c r="H15" s="32" t="n">
        <v>0.3125</v>
      </c>
      <c r="I15" s="32" t="n">
        <v>0.3333333333333333</v>
      </c>
      <c r="J15" s="32" t="n">
        <v>0.3541666666666667</v>
      </c>
      <c r="K15" s="32" t="n">
        <v>0.5416666666666666</v>
      </c>
      <c r="L15" s="32" t="n">
        <v>0.5833333333333334</v>
      </c>
      <c r="M15" s="18" t="inlineStr">
        <is>
          <t>ACC-001</t>
        </is>
      </c>
      <c r="N15" s="23">
        <f>IF($M15="","",IFERROR(VLOOKUP($M15,Recursos!$A$6:$H$105,3,FALSE),"Código no encontrado"))</f>
        <v/>
      </c>
      <c r="O15" s="24">
        <f>IF($M15="","",IFERROR(VLOOKUP($M15,Recursos!$A$6:$H$105,2,FALSE),""))</f>
        <v/>
      </c>
      <c r="P15" s="25" t="n">
        <v>10</v>
      </c>
      <c r="Q15" s="24">
        <f>IF($M15="","",IFERROR(VLOOKUP($M15,Recursos!$A$6:$H$105,5,FALSE),""))</f>
        <v/>
      </c>
      <c r="R15" s="26">
        <f>IF($M15="","",IFERROR(VLOOKUP($M15,Recursos!$A$6:$H$105,4,FALSE),""))</f>
        <v/>
      </c>
      <c r="S15" s="27">
        <f>IF($M15="","",IFERROR(VLOOKUP($M15,Recursos!$A$6:$H$105,6,FALSE),""))</f>
        <v/>
      </c>
      <c r="T15" s="27">
        <f>IF(OR($P15="",$S15=""),"",ROUND($P15*$S15,2))</f>
        <v/>
      </c>
      <c r="U15" s="18" t="inlineStr">
        <is>
          <t>VEH-02</t>
        </is>
      </c>
      <c r="V15" s="18" t="inlineStr">
        <is>
          <t>Baja</t>
        </is>
      </c>
      <c r="W15" s="18" t="inlineStr">
        <is>
          <t>Devuelto</t>
        </is>
      </c>
      <c r="X15" s="25" t="n">
        <v>10</v>
      </c>
      <c r="Y15" s="25" t="n">
        <v>8</v>
      </c>
      <c r="Z15" s="32" t="n">
        <v>0.34375</v>
      </c>
      <c r="AA15" s="32" t="n">
        <v>0.5902777777777778</v>
      </c>
      <c r="AB15" s="18" t="inlineStr">
        <is>
          <t>Sí</t>
        </is>
      </c>
      <c r="AC15" s="20" t="inlineStr">
        <is>
          <t>Faltan dos unidades por devolver</t>
        </is>
      </c>
      <c r="AD15" s="26">
        <f>IF($P15="","",MAX(0,$P15-N($X15)))</f>
        <v/>
      </c>
      <c r="AE15" s="23">
        <f>IF($A15="","",IF($M15="","Falta recurso",IF(IFERROR(VLOOKUP($M15,Recursos!$A$6:$H$105,7,FALSE),"No")&lt;&gt;"Sí","Recurso no activo",IF(OR($B15="",$H15="",$L15=""),"Faltan fecha u horarios",IF(OR($G15&gt;$H15,$H15&gt;$I15,$I15&gt;$J15,$J15&gt;$K15,$K15&gt;$L15),"Revisar secuencia horaria",IF(SUMPRODUCT(($B$6:$B$205=$B15)*($M$6:$M$205=$M15)*($H$6:$H$205&lt;$L15)*($L$6:$L$205&gt;$H15)*N($P$6:$P$205))&gt;N($R15),"Stock insuficiente",IF(AND($U15&lt;&gt;"",SUMPRODUCT(($B$6:$B$205=$B15)*($U$6:$U$205=$U15)*($A$6:$A$205&lt;&gt;$A15)*($H$6:$H$205&lt;$L15)*($L$6:$L$205&gt;$H15))&gt;0),"Vehículo solapado",IF(AND($Z15&lt;&gt;"",$J15&lt;&gt;"",$Z15&gt;$J15),"Entrega fuera de ventana",IF(AND($W15="Devuelto",N($Y15)&lt;N($X15)),"Devolución incompleta","")))))))))</f>
        <v/>
      </c>
      <c r="AF15" s="24">
        <f>IF($A15="","",IF(OR($B15="",$C15="",$D15="",$E15="",$H15="",$I15="",$J15="",$L15="",$M15="",$P15="",$U15="",$V15="",$W15=""),"Revisar",IF($AE15&lt;&gt;"","Revisar","Correcto")))</f>
        <v/>
      </c>
    </row>
    <row r="16">
      <c r="A16" s="18" t="n"/>
      <c r="B16" s="19" t="n"/>
      <c r="C16" s="20" t="n"/>
      <c r="D16" s="20" t="n"/>
      <c r="E16" s="18" t="n"/>
      <c r="F16" s="21" t="n"/>
      <c r="G16" s="32" t="n"/>
      <c r="H16" s="32" t="n"/>
      <c r="I16" s="32" t="n"/>
      <c r="J16" s="32" t="n"/>
      <c r="K16" s="32" t="n"/>
      <c r="L16" s="32" t="n"/>
      <c r="M16" s="18" t="n"/>
      <c r="N16" s="23">
        <f>IF($M16="","",IFERROR(VLOOKUP($M16,Recursos!$A$6:$H$105,3,FALSE),"Código no encontrado"))</f>
        <v/>
      </c>
      <c r="O16" s="24">
        <f>IF($M16="","",IFERROR(VLOOKUP($M16,Recursos!$A$6:$H$105,2,FALSE),""))</f>
        <v/>
      </c>
      <c r="P16" s="25" t="n"/>
      <c r="Q16" s="24">
        <f>IF($M16="","",IFERROR(VLOOKUP($M16,Recursos!$A$6:$H$105,5,FALSE),""))</f>
        <v/>
      </c>
      <c r="R16" s="26">
        <f>IF($M16="","",IFERROR(VLOOKUP($M16,Recursos!$A$6:$H$105,4,FALSE),""))</f>
        <v/>
      </c>
      <c r="S16" s="27">
        <f>IF($M16="","",IFERROR(VLOOKUP($M16,Recursos!$A$6:$H$105,6,FALSE),""))</f>
        <v/>
      </c>
      <c r="T16" s="27">
        <f>IF(OR($P16="",$S16=""),"",ROUND($P16*$S16,2))</f>
        <v/>
      </c>
      <c r="U16" s="18" t="n"/>
      <c r="V16" s="18" t="n"/>
      <c r="W16" s="18" t="n"/>
      <c r="X16" s="25" t="n"/>
      <c r="Y16" s="25" t="n"/>
      <c r="Z16" s="32" t="n"/>
      <c r="AA16" s="32" t="n"/>
      <c r="AB16" s="18" t="n"/>
      <c r="AC16" s="20" t="n"/>
      <c r="AD16" s="26">
        <f>IF($P16="","",MAX(0,$P16-N($X16)))</f>
        <v/>
      </c>
      <c r="AE16" s="23">
        <f>IF($A16="","",IF($M16="","Falta recurso",IF(IFERROR(VLOOKUP($M16,Recursos!$A$6:$H$105,7,FALSE),"No")&lt;&gt;"Sí","Recurso no activo",IF(OR($B16="",$H16="",$L16=""),"Faltan fecha u horarios",IF(OR($G16&gt;$H16,$H16&gt;$I16,$I16&gt;$J16,$J16&gt;$K16,$K16&gt;$L16),"Revisar secuencia horaria",IF(SUMPRODUCT(($B$6:$B$205=$B16)*($M$6:$M$205=$M16)*($H$6:$H$205&lt;$L16)*($L$6:$L$205&gt;$H16)*N($P$6:$P$205))&gt;N($R16),"Stock insuficiente",IF(AND($U16&lt;&gt;"",SUMPRODUCT(($B$6:$B$205=$B16)*($U$6:$U$205=$U16)*($A$6:$A$205&lt;&gt;$A16)*($H$6:$H$205&lt;$L16)*($L$6:$L$205&gt;$H16))&gt;0),"Vehículo solapado",IF(AND($Z16&lt;&gt;"",$J16&lt;&gt;"",$Z16&gt;$J16),"Entrega fuera de ventana",IF(AND($W16="Devuelto",N($Y16)&lt;N($X16)),"Devolución incompleta","")))))))))</f>
        <v/>
      </c>
      <c r="AF16" s="24">
        <f>IF($A16="","",IF(OR($B16="",$C16="",$D16="",$E16="",$H16="",$I16="",$J16="",$L16="",$M16="",$P16="",$U16="",$V16="",$W16=""),"Revisar",IF($AE16&lt;&gt;"","Revisar","Correcto")))</f>
        <v/>
      </c>
    </row>
    <row r="17">
      <c r="A17" s="18" t="n"/>
      <c r="B17" s="19" t="n"/>
      <c r="C17" s="20" t="n"/>
      <c r="D17" s="20" t="n"/>
      <c r="E17" s="18" t="n"/>
      <c r="F17" s="21" t="n"/>
      <c r="G17" s="32" t="n"/>
      <c r="H17" s="32" t="n"/>
      <c r="I17" s="32" t="n"/>
      <c r="J17" s="32" t="n"/>
      <c r="K17" s="32" t="n"/>
      <c r="L17" s="32" t="n"/>
      <c r="M17" s="18" t="n"/>
      <c r="N17" s="23">
        <f>IF($M17="","",IFERROR(VLOOKUP($M17,Recursos!$A$6:$H$105,3,FALSE),"Código no encontrado"))</f>
        <v/>
      </c>
      <c r="O17" s="24">
        <f>IF($M17="","",IFERROR(VLOOKUP($M17,Recursos!$A$6:$H$105,2,FALSE),""))</f>
        <v/>
      </c>
      <c r="P17" s="25" t="n"/>
      <c r="Q17" s="24">
        <f>IF($M17="","",IFERROR(VLOOKUP($M17,Recursos!$A$6:$H$105,5,FALSE),""))</f>
        <v/>
      </c>
      <c r="R17" s="26">
        <f>IF($M17="","",IFERROR(VLOOKUP($M17,Recursos!$A$6:$H$105,4,FALSE),""))</f>
        <v/>
      </c>
      <c r="S17" s="27">
        <f>IF($M17="","",IFERROR(VLOOKUP($M17,Recursos!$A$6:$H$105,6,FALSE),""))</f>
        <v/>
      </c>
      <c r="T17" s="27">
        <f>IF(OR($P17="",$S17=""),"",ROUND($P17*$S17,2))</f>
        <v/>
      </c>
      <c r="U17" s="18" t="n"/>
      <c r="V17" s="18" t="n"/>
      <c r="W17" s="18" t="n"/>
      <c r="X17" s="25" t="n"/>
      <c r="Y17" s="25" t="n"/>
      <c r="Z17" s="32" t="n"/>
      <c r="AA17" s="32" t="n"/>
      <c r="AB17" s="18" t="n"/>
      <c r="AC17" s="20" t="n"/>
      <c r="AD17" s="26">
        <f>IF($P17="","",MAX(0,$P17-N($X17)))</f>
        <v/>
      </c>
      <c r="AE17" s="23">
        <f>IF($A17="","",IF($M17="","Falta recurso",IF(IFERROR(VLOOKUP($M17,Recursos!$A$6:$H$105,7,FALSE),"No")&lt;&gt;"Sí","Recurso no activo",IF(OR($B17="",$H17="",$L17=""),"Faltan fecha u horarios",IF(OR($G17&gt;$H17,$H17&gt;$I17,$I17&gt;$J17,$J17&gt;$K17,$K17&gt;$L17),"Revisar secuencia horaria",IF(SUMPRODUCT(($B$6:$B$205=$B17)*($M$6:$M$205=$M17)*($H$6:$H$205&lt;$L17)*($L$6:$L$205&gt;$H17)*N($P$6:$P$205))&gt;N($R17),"Stock insuficiente",IF(AND($U17&lt;&gt;"",SUMPRODUCT(($B$6:$B$205=$B17)*($U$6:$U$205=$U17)*($A$6:$A$205&lt;&gt;$A17)*($H$6:$H$205&lt;$L17)*($L$6:$L$205&gt;$H17))&gt;0),"Vehículo solapado",IF(AND($Z17&lt;&gt;"",$J17&lt;&gt;"",$Z17&gt;$J17),"Entrega fuera de ventana",IF(AND($W17="Devuelto",N($Y17)&lt;N($X17)),"Devolución incompleta","")))))))))</f>
        <v/>
      </c>
      <c r="AF17" s="24">
        <f>IF($A17="","",IF(OR($B17="",$C17="",$D17="",$E17="",$H17="",$I17="",$J17="",$L17="",$M17="",$P17="",$U17="",$V17="",$W17=""),"Revisar",IF($AE17&lt;&gt;"","Revisar","Correcto")))</f>
        <v/>
      </c>
    </row>
    <row r="18">
      <c r="A18" s="18" t="n"/>
      <c r="B18" s="19" t="n"/>
      <c r="C18" s="20" t="n"/>
      <c r="D18" s="20" t="n"/>
      <c r="E18" s="18" t="n"/>
      <c r="F18" s="21" t="n"/>
      <c r="G18" s="32" t="n"/>
      <c r="H18" s="32" t="n"/>
      <c r="I18" s="32" t="n"/>
      <c r="J18" s="32" t="n"/>
      <c r="K18" s="32" t="n"/>
      <c r="L18" s="32" t="n"/>
      <c r="M18" s="18" t="n"/>
      <c r="N18" s="23">
        <f>IF($M18="","",IFERROR(VLOOKUP($M18,Recursos!$A$6:$H$105,3,FALSE),"Código no encontrado"))</f>
        <v/>
      </c>
      <c r="O18" s="24">
        <f>IF($M18="","",IFERROR(VLOOKUP($M18,Recursos!$A$6:$H$105,2,FALSE),""))</f>
        <v/>
      </c>
      <c r="P18" s="25" t="n"/>
      <c r="Q18" s="24">
        <f>IF($M18="","",IFERROR(VLOOKUP($M18,Recursos!$A$6:$H$105,5,FALSE),""))</f>
        <v/>
      </c>
      <c r="R18" s="26">
        <f>IF($M18="","",IFERROR(VLOOKUP($M18,Recursos!$A$6:$H$105,4,FALSE),""))</f>
        <v/>
      </c>
      <c r="S18" s="27">
        <f>IF($M18="","",IFERROR(VLOOKUP($M18,Recursos!$A$6:$H$105,6,FALSE),""))</f>
        <v/>
      </c>
      <c r="T18" s="27">
        <f>IF(OR($P18="",$S18=""),"",ROUND($P18*$S18,2))</f>
        <v/>
      </c>
      <c r="U18" s="18" t="n"/>
      <c r="V18" s="18" t="n"/>
      <c r="W18" s="18" t="n"/>
      <c r="X18" s="25" t="n"/>
      <c r="Y18" s="25" t="n"/>
      <c r="Z18" s="32" t="n"/>
      <c r="AA18" s="32" t="n"/>
      <c r="AB18" s="18" t="n"/>
      <c r="AC18" s="20" t="n"/>
      <c r="AD18" s="26">
        <f>IF($P18="","",MAX(0,$P18-N($X18)))</f>
        <v/>
      </c>
      <c r="AE18" s="23">
        <f>IF($A18="","",IF($M18="","Falta recurso",IF(IFERROR(VLOOKUP($M18,Recursos!$A$6:$H$105,7,FALSE),"No")&lt;&gt;"Sí","Recurso no activo",IF(OR($B18="",$H18="",$L18=""),"Faltan fecha u horarios",IF(OR($G18&gt;$H18,$H18&gt;$I18,$I18&gt;$J18,$J18&gt;$K18,$K18&gt;$L18),"Revisar secuencia horaria",IF(SUMPRODUCT(($B$6:$B$205=$B18)*($M$6:$M$205=$M18)*($H$6:$H$205&lt;$L18)*($L$6:$L$205&gt;$H18)*N($P$6:$P$205))&gt;N($R18),"Stock insuficiente",IF(AND($U18&lt;&gt;"",SUMPRODUCT(($B$6:$B$205=$B18)*($U$6:$U$205=$U18)*($A$6:$A$205&lt;&gt;$A18)*($H$6:$H$205&lt;$L18)*($L$6:$L$205&gt;$H18))&gt;0),"Vehículo solapado",IF(AND($Z18&lt;&gt;"",$J18&lt;&gt;"",$Z18&gt;$J18),"Entrega fuera de ventana",IF(AND($W18="Devuelto",N($Y18)&lt;N($X18)),"Devolución incompleta","")))))))))</f>
        <v/>
      </c>
      <c r="AF18" s="24">
        <f>IF($A18="","",IF(OR($B18="",$C18="",$D18="",$E18="",$H18="",$I18="",$J18="",$L18="",$M18="",$P18="",$U18="",$V18="",$W18=""),"Revisar",IF($AE18&lt;&gt;"","Revisar","Correcto")))</f>
        <v/>
      </c>
    </row>
    <row r="19">
      <c r="A19" s="18" t="n"/>
      <c r="B19" s="19" t="n"/>
      <c r="C19" s="20" t="n"/>
      <c r="D19" s="20" t="n"/>
      <c r="E19" s="18" t="n"/>
      <c r="F19" s="21" t="n"/>
      <c r="G19" s="32" t="n"/>
      <c r="H19" s="32" t="n"/>
      <c r="I19" s="32" t="n"/>
      <c r="J19" s="32" t="n"/>
      <c r="K19" s="32" t="n"/>
      <c r="L19" s="32" t="n"/>
      <c r="M19" s="18" t="n"/>
      <c r="N19" s="23">
        <f>IF($M19="","",IFERROR(VLOOKUP($M19,Recursos!$A$6:$H$105,3,FALSE),"Código no encontrado"))</f>
        <v/>
      </c>
      <c r="O19" s="24">
        <f>IF($M19="","",IFERROR(VLOOKUP($M19,Recursos!$A$6:$H$105,2,FALSE),""))</f>
        <v/>
      </c>
      <c r="P19" s="25" t="n"/>
      <c r="Q19" s="24">
        <f>IF($M19="","",IFERROR(VLOOKUP($M19,Recursos!$A$6:$H$105,5,FALSE),""))</f>
        <v/>
      </c>
      <c r="R19" s="26">
        <f>IF($M19="","",IFERROR(VLOOKUP($M19,Recursos!$A$6:$H$105,4,FALSE),""))</f>
        <v/>
      </c>
      <c r="S19" s="27">
        <f>IF($M19="","",IFERROR(VLOOKUP($M19,Recursos!$A$6:$H$105,6,FALSE),""))</f>
        <v/>
      </c>
      <c r="T19" s="27">
        <f>IF(OR($P19="",$S19=""),"",ROUND($P19*$S19,2))</f>
        <v/>
      </c>
      <c r="U19" s="18" t="n"/>
      <c r="V19" s="18" t="n"/>
      <c r="W19" s="18" t="n"/>
      <c r="X19" s="25" t="n"/>
      <c r="Y19" s="25" t="n"/>
      <c r="Z19" s="32" t="n"/>
      <c r="AA19" s="32" t="n"/>
      <c r="AB19" s="18" t="n"/>
      <c r="AC19" s="20" t="n"/>
      <c r="AD19" s="26">
        <f>IF($P19="","",MAX(0,$P19-N($X19)))</f>
        <v/>
      </c>
      <c r="AE19" s="23">
        <f>IF($A19="","",IF($M19="","Falta recurso",IF(IFERROR(VLOOKUP($M19,Recursos!$A$6:$H$105,7,FALSE),"No")&lt;&gt;"Sí","Recurso no activo",IF(OR($B19="",$H19="",$L19=""),"Faltan fecha u horarios",IF(OR($G19&gt;$H19,$H19&gt;$I19,$I19&gt;$J19,$J19&gt;$K19,$K19&gt;$L19),"Revisar secuencia horaria",IF(SUMPRODUCT(($B$6:$B$205=$B19)*($M$6:$M$205=$M19)*($H$6:$H$205&lt;$L19)*($L$6:$L$205&gt;$H19)*N($P$6:$P$205))&gt;N($R19),"Stock insuficiente",IF(AND($U19&lt;&gt;"",SUMPRODUCT(($B$6:$B$205=$B19)*($U$6:$U$205=$U19)*($A$6:$A$205&lt;&gt;$A19)*($H$6:$H$205&lt;$L19)*($L$6:$L$205&gt;$H19))&gt;0),"Vehículo solapado",IF(AND($Z19&lt;&gt;"",$J19&lt;&gt;"",$Z19&gt;$J19),"Entrega fuera de ventana",IF(AND($W19="Devuelto",N($Y19)&lt;N($X19)),"Devolución incompleta","")))))))))</f>
        <v/>
      </c>
      <c r="AF19" s="24">
        <f>IF($A19="","",IF(OR($B19="",$C19="",$D19="",$E19="",$H19="",$I19="",$J19="",$L19="",$M19="",$P19="",$U19="",$V19="",$W19=""),"Revisar",IF($AE19&lt;&gt;"","Revisar","Correcto")))</f>
        <v/>
      </c>
    </row>
    <row r="20">
      <c r="A20" s="18" t="n"/>
      <c r="B20" s="19" t="n"/>
      <c r="C20" s="20" t="n"/>
      <c r="D20" s="20" t="n"/>
      <c r="E20" s="18" t="n"/>
      <c r="F20" s="21" t="n"/>
      <c r="G20" s="32" t="n"/>
      <c r="H20" s="32" t="n"/>
      <c r="I20" s="32" t="n"/>
      <c r="J20" s="32" t="n"/>
      <c r="K20" s="32" t="n"/>
      <c r="L20" s="32" t="n"/>
      <c r="M20" s="18" t="n"/>
      <c r="N20" s="23">
        <f>IF($M20="","",IFERROR(VLOOKUP($M20,Recursos!$A$6:$H$105,3,FALSE),"Código no encontrado"))</f>
        <v/>
      </c>
      <c r="O20" s="24">
        <f>IF($M20="","",IFERROR(VLOOKUP($M20,Recursos!$A$6:$H$105,2,FALSE),""))</f>
        <v/>
      </c>
      <c r="P20" s="25" t="n"/>
      <c r="Q20" s="24">
        <f>IF($M20="","",IFERROR(VLOOKUP($M20,Recursos!$A$6:$H$105,5,FALSE),""))</f>
        <v/>
      </c>
      <c r="R20" s="26">
        <f>IF($M20="","",IFERROR(VLOOKUP($M20,Recursos!$A$6:$H$105,4,FALSE),""))</f>
        <v/>
      </c>
      <c r="S20" s="27">
        <f>IF($M20="","",IFERROR(VLOOKUP($M20,Recursos!$A$6:$H$105,6,FALSE),""))</f>
        <v/>
      </c>
      <c r="T20" s="27">
        <f>IF(OR($P20="",$S20=""),"",ROUND($P20*$S20,2))</f>
        <v/>
      </c>
      <c r="U20" s="18" t="n"/>
      <c r="V20" s="18" t="n"/>
      <c r="W20" s="18" t="n"/>
      <c r="X20" s="25" t="n"/>
      <c r="Y20" s="25" t="n"/>
      <c r="Z20" s="32" t="n"/>
      <c r="AA20" s="32" t="n"/>
      <c r="AB20" s="18" t="n"/>
      <c r="AC20" s="20" t="n"/>
      <c r="AD20" s="26">
        <f>IF($P20="","",MAX(0,$P20-N($X20)))</f>
        <v/>
      </c>
      <c r="AE20" s="23">
        <f>IF($A20="","",IF($M20="","Falta recurso",IF(IFERROR(VLOOKUP($M20,Recursos!$A$6:$H$105,7,FALSE),"No")&lt;&gt;"Sí","Recurso no activo",IF(OR($B20="",$H20="",$L20=""),"Faltan fecha u horarios",IF(OR($G20&gt;$H20,$H20&gt;$I20,$I20&gt;$J20,$J20&gt;$K20,$K20&gt;$L20),"Revisar secuencia horaria",IF(SUMPRODUCT(($B$6:$B$205=$B20)*($M$6:$M$205=$M20)*($H$6:$H$205&lt;$L20)*($L$6:$L$205&gt;$H20)*N($P$6:$P$205))&gt;N($R20),"Stock insuficiente",IF(AND($U20&lt;&gt;"",SUMPRODUCT(($B$6:$B$205=$B20)*($U$6:$U$205=$U20)*($A$6:$A$205&lt;&gt;$A20)*($H$6:$H$205&lt;$L20)*($L$6:$L$205&gt;$H20))&gt;0),"Vehículo solapado",IF(AND($Z20&lt;&gt;"",$J20&lt;&gt;"",$Z20&gt;$J20),"Entrega fuera de ventana",IF(AND($W20="Devuelto",N($Y20)&lt;N($X20)),"Devolución incompleta","")))))))))</f>
        <v/>
      </c>
      <c r="AF20" s="24">
        <f>IF($A20="","",IF(OR($B20="",$C20="",$D20="",$E20="",$H20="",$I20="",$J20="",$L20="",$M20="",$P20="",$U20="",$V20="",$W20=""),"Revisar",IF($AE20&lt;&gt;"","Revisar","Correcto")))</f>
        <v/>
      </c>
    </row>
    <row r="21">
      <c r="A21" s="18" t="n"/>
      <c r="B21" s="19" t="n"/>
      <c r="C21" s="20" t="n"/>
      <c r="D21" s="20" t="n"/>
      <c r="E21" s="18" t="n"/>
      <c r="F21" s="21" t="n"/>
      <c r="G21" s="32" t="n"/>
      <c r="H21" s="32" t="n"/>
      <c r="I21" s="32" t="n"/>
      <c r="J21" s="32" t="n"/>
      <c r="K21" s="32" t="n"/>
      <c r="L21" s="32" t="n"/>
      <c r="M21" s="18" t="n"/>
      <c r="N21" s="23">
        <f>IF($M21="","",IFERROR(VLOOKUP($M21,Recursos!$A$6:$H$105,3,FALSE),"Código no encontrado"))</f>
        <v/>
      </c>
      <c r="O21" s="24">
        <f>IF($M21="","",IFERROR(VLOOKUP($M21,Recursos!$A$6:$H$105,2,FALSE),""))</f>
        <v/>
      </c>
      <c r="P21" s="25" t="n"/>
      <c r="Q21" s="24">
        <f>IF($M21="","",IFERROR(VLOOKUP($M21,Recursos!$A$6:$H$105,5,FALSE),""))</f>
        <v/>
      </c>
      <c r="R21" s="26">
        <f>IF($M21="","",IFERROR(VLOOKUP($M21,Recursos!$A$6:$H$105,4,FALSE),""))</f>
        <v/>
      </c>
      <c r="S21" s="27">
        <f>IF($M21="","",IFERROR(VLOOKUP($M21,Recursos!$A$6:$H$105,6,FALSE),""))</f>
        <v/>
      </c>
      <c r="T21" s="27">
        <f>IF(OR($P21="",$S21=""),"",ROUND($P21*$S21,2))</f>
        <v/>
      </c>
      <c r="U21" s="18" t="n"/>
      <c r="V21" s="18" t="n"/>
      <c r="W21" s="18" t="n"/>
      <c r="X21" s="25" t="n"/>
      <c r="Y21" s="25" t="n"/>
      <c r="Z21" s="32" t="n"/>
      <c r="AA21" s="32" t="n"/>
      <c r="AB21" s="18" t="n"/>
      <c r="AC21" s="20" t="n"/>
      <c r="AD21" s="26">
        <f>IF($P21="","",MAX(0,$P21-N($X21)))</f>
        <v/>
      </c>
      <c r="AE21" s="23">
        <f>IF($A21="","",IF($M21="","Falta recurso",IF(IFERROR(VLOOKUP($M21,Recursos!$A$6:$H$105,7,FALSE),"No")&lt;&gt;"Sí","Recurso no activo",IF(OR($B21="",$H21="",$L21=""),"Faltan fecha u horarios",IF(OR($G21&gt;$H21,$H21&gt;$I21,$I21&gt;$J21,$J21&gt;$K21,$K21&gt;$L21),"Revisar secuencia horaria",IF(SUMPRODUCT(($B$6:$B$205=$B21)*($M$6:$M$205=$M21)*($H$6:$H$205&lt;$L21)*($L$6:$L$205&gt;$H21)*N($P$6:$P$205))&gt;N($R21),"Stock insuficiente",IF(AND($U21&lt;&gt;"",SUMPRODUCT(($B$6:$B$205=$B21)*($U$6:$U$205=$U21)*($A$6:$A$205&lt;&gt;$A21)*($H$6:$H$205&lt;$L21)*($L$6:$L$205&gt;$H21))&gt;0),"Vehículo solapado",IF(AND($Z21&lt;&gt;"",$J21&lt;&gt;"",$Z21&gt;$J21),"Entrega fuera de ventana",IF(AND($W21="Devuelto",N($Y21)&lt;N($X21)),"Devolución incompleta","")))))))))</f>
        <v/>
      </c>
      <c r="AF21" s="24">
        <f>IF($A21="","",IF(OR($B21="",$C21="",$D21="",$E21="",$H21="",$I21="",$J21="",$L21="",$M21="",$P21="",$U21="",$V21="",$W21=""),"Revisar",IF($AE21&lt;&gt;"","Revisar","Correcto")))</f>
        <v/>
      </c>
    </row>
    <row r="22">
      <c r="A22" s="18" t="n"/>
      <c r="B22" s="19" t="n"/>
      <c r="C22" s="20" t="n"/>
      <c r="D22" s="20" t="n"/>
      <c r="E22" s="18" t="n"/>
      <c r="F22" s="21" t="n"/>
      <c r="G22" s="32" t="n"/>
      <c r="H22" s="32" t="n"/>
      <c r="I22" s="32" t="n"/>
      <c r="J22" s="32" t="n"/>
      <c r="K22" s="32" t="n"/>
      <c r="L22" s="32" t="n"/>
      <c r="M22" s="18" t="n"/>
      <c r="N22" s="23">
        <f>IF($M22="","",IFERROR(VLOOKUP($M22,Recursos!$A$6:$H$105,3,FALSE),"Código no encontrado"))</f>
        <v/>
      </c>
      <c r="O22" s="24">
        <f>IF($M22="","",IFERROR(VLOOKUP($M22,Recursos!$A$6:$H$105,2,FALSE),""))</f>
        <v/>
      </c>
      <c r="P22" s="25" t="n"/>
      <c r="Q22" s="24">
        <f>IF($M22="","",IFERROR(VLOOKUP($M22,Recursos!$A$6:$H$105,5,FALSE),""))</f>
        <v/>
      </c>
      <c r="R22" s="26">
        <f>IF($M22="","",IFERROR(VLOOKUP($M22,Recursos!$A$6:$H$105,4,FALSE),""))</f>
        <v/>
      </c>
      <c r="S22" s="27">
        <f>IF($M22="","",IFERROR(VLOOKUP($M22,Recursos!$A$6:$H$105,6,FALSE),""))</f>
        <v/>
      </c>
      <c r="T22" s="27">
        <f>IF(OR($P22="",$S22=""),"",ROUND($P22*$S22,2))</f>
        <v/>
      </c>
      <c r="U22" s="18" t="n"/>
      <c r="V22" s="18" t="n"/>
      <c r="W22" s="18" t="n"/>
      <c r="X22" s="25" t="n"/>
      <c r="Y22" s="25" t="n"/>
      <c r="Z22" s="32" t="n"/>
      <c r="AA22" s="32" t="n"/>
      <c r="AB22" s="18" t="n"/>
      <c r="AC22" s="20" t="n"/>
      <c r="AD22" s="26">
        <f>IF($P22="","",MAX(0,$P22-N($X22)))</f>
        <v/>
      </c>
      <c r="AE22" s="23">
        <f>IF($A22="","",IF($M22="","Falta recurso",IF(IFERROR(VLOOKUP($M22,Recursos!$A$6:$H$105,7,FALSE),"No")&lt;&gt;"Sí","Recurso no activo",IF(OR($B22="",$H22="",$L22=""),"Faltan fecha u horarios",IF(OR($G22&gt;$H22,$H22&gt;$I22,$I22&gt;$J22,$J22&gt;$K22,$K22&gt;$L22),"Revisar secuencia horaria",IF(SUMPRODUCT(($B$6:$B$205=$B22)*($M$6:$M$205=$M22)*($H$6:$H$205&lt;$L22)*($L$6:$L$205&gt;$H22)*N($P$6:$P$205))&gt;N($R22),"Stock insuficiente",IF(AND($U22&lt;&gt;"",SUMPRODUCT(($B$6:$B$205=$B22)*($U$6:$U$205=$U22)*($A$6:$A$205&lt;&gt;$A22)*($H$6:$H$205&lt;$L22)*($L$6:$L$205&gt;$H22))&gt;0),"Vehículo solapado",IF(AND($Z22&lt;&gt;"",$J22&lt;&gt;"",$Z22&gt;$J22),"Entrega fuera de ventana",IF(AND($W22="Devuelto",N($Y22)&lt;N($X22)),"Devolución incompleta","")))))))))</f>
        <v/>
      </c>
      <c r="AF22" s="24">
        <f>IF($A22="","",IF(OR($B22="",$C22="",$D22="",$E22="",$H22="",$I22="",$J22="",$L22="",$M22="",$P22="",$U22="",$V22="",$W22=""),"Revisar",IF($AE22&lt;&gt;"","Revisar","Correcto")))</f>
        <v/>
      </c>
    </row>
    <row r="23">
      <c r="A23" s="18" t="n"/>
      <c r="B23" s="19" t="n"/>
      <c r="C23" s="20" t="n"/>
      <c r="D23" s="20" t="n"/>
      <c r="E23" s="18" t="n"/>
      <c r="F23" s="21" t="n"/>
      <c r="G23" s="32" t="n"/>
      <c r="H23" s="32" t="n"/>
      <c r="I23" s="32" t="n"/>
      <c r="J23" s="32" t="n"/>
      <c r="K23" s="32" t="n"/>
      <c r="L23" s="32" t="n"/>
      <c r="M23" s="18" t="n"/>
      <c r="N23" s="23">
        <f>IF($M23="","",IFERROR(VLOOKUP($M23,Recursos!$A$6:$H$105,3,FALSE),"Código no encontrado"))</f>
        <v/>
      </c>
      <c r="O23" s="24">
        <f>IF($M23="","",IFERROR(VLOOKUP($M23,Recursos!$A$6:$H$105,2,FALSE),""))</f>
        <v/>
      </c>
      <c r="P23" s="25" t="n"/>
      <c r="Q23" s="24">
        <f>IF($M23="","",IFERROR(VLOOKUP($M23,Recursos!$A$6:$H$105,5,FALSE),""))</f>
        <v/>
      </c>
      <c r="R23" s="26">
        <f>IF($M23="","",IFERROR(VLOOKUP($M23,Recursos!$A$6:$H$105,4,FALSE),""))</f>
        <v/>
      </c>
      <c r="S23" s="27">
        <f>IF($M23="","",IFERROR(VLOOKUP($M23,Recursos!$A$6:$H$105,6,FALSE),""))</f>
        <v/>
      </c>
      <c r="T23" s="27">
        <f>IF(OR($P23="",$S23=""),"",ROUND($P23*$S23,2))</f>
        <v/>
      </c>
      <c r="U23" s="18" t="n"/>
      <c r="V23" s="18" t="n"/>
      <c r="W23" s="18" t="n"/>
      <c r="X23" s="25" t="n"/>
      <c r="Y23" s="25" t="n"/>
      <c r="Z23" s="32" t="n"/>
      <c r="AA23" s="32" t="n"/>
      <c r="AB23" s="18" t="n"/>
      <c r="AC23" s="20" t="n"/>
      <c r="AD23" s="26">
        <f>IF($P23="","",MAX(0,$P23-N($X23)))</f>
        <v/>
      </c>
      <c r="AE23" s="23">
        <f>IF($A23="","",IF($M23="","Falta recurso",IF(IFERROR(VLOOKUP($M23,Recursos!$A$6:$H$105,7,FALSE),"No")&lt;&gt;"Sí","Recurso no activo",IF(OR($B23="",$H23="",$L23=""),"Faltan fecha u horarios",IF(OR($G23&gt;$H23,$H23&gt;$I23,$I23&gt;$J23,$J23&gt;$K23,$K23&gt;$L23),"Revisar secuencia horaria",IF(SUMPRODUCT(($B$6:$B$205=$B23)*($M$6:$M$205=$M23)*($H$6:$H$205&lt;$L23)*($L$6:$L$205&gt;$H23)*N($P$6:$P$205))&gt;N($R23),"Stock insuficiente",IF(AND($U23&lt;&gt;"",SUMPRODUCT(($B$6:$B$205=$B23)*($U$6:$U$205=$U23)*($A$6:$A$205&lt;&gt;$A23)*($H$6:$H$205&lt;$L23)*($L$6:$L$205&gt;$H23))&gt;0),"Vehículo solapado",IF(AND($Z23&lt;&gt;"",$J23&lt;&gt;"",$Z23&gt;$J23),"Entrega fuera de ventana",IF(AND($W23="Devuelto",N($Y23)&lt;N($X23)),"Devolución incompleta","")))))))))</f>
        <v/>
      </c>
      <c r="AF23" s="24">
        <f>IF($A23="","",IF(OR($B23="",$C23="",$D23="",$E23="",$H23="",$I23="",$J23="",$L23="",$M23="",$P23="",$U23="",$V23="",$W23=""),"Revisar",IF($AE23&lt;&gt;"","Revisar","Correcto")))</f>
        <v/>
      </c>
    </row>
    <row r="24">
      <c r="A24" s="18" t="n"/>
      <c r="B24" s="19" t="n"/>
      <c r="C24" s="20" t="n"/>
      <c r="D24" s="20" t="n"/>
      <c r="E24" s="18" t="n"/>
      <c r="F24" s="21" t="n"/>
      <c r="G24" s="32" t="n"/>
      <c r="H24" s="32" t="n"/>
      <c r="I24" s="32" t="n"/>
      <c r="J24" s="32" t="n"/>
      <c r="K24" s="32" t="n"/>
      <c r="L24" s="32" t="n"/>
      <c r="M24" s="18" t="n"/>
      <c r="N24" s="23">
        <f>IF($M24="","",IFERROR(VLOOKUP($M24,Recursos!$A$6:$H$105,3,FALSE),"Código no encontrado"))</f>
        <v/>
      </c>
      <c r="O24" s="24">
        <f>IF($M24="","",IFERROR(VLOOKUP($M24,Recursos!$A$6:$H$105,2,FALSE),""))</f>
        <v/>
      </c>
      <c r="P24" s="25" t="n"/>
      <c r="Q24" s="24">
        <f>IF($M24="","",IFERROR(VLOOKUP($M24,Recursos!$A$6:$H$105,5,FALSE),""))</f>
        <v/>
      </c>
      <c r="R24" s="26">
        <f>IF($M24="","",IFERROR(VLOOKUP($M24,Recursos!$A$6:$H$105,4,FALSE),""))</f>
        <v/>
      </c>
      <c r="S24" s="27">
        <f>IF($M24="","",IFERROR(VLOOKUP($M24,Recursos!$A$6:$H$105,6,FALSE),""))</f>
        <v/>
      </c>
      <c r="T24" s="27">
        <f>IF(OR($P24="",$S24=""),"",ROUND($P24*$S24,2))</f>
        <v/>
      </c>
      <c r="U24" s="18" t="n"/>
      <c r="V24" s="18" t="n"/>
      <c r="W24" s="18" t="n"/>
      <c r="X24" s="25" t="n"/>
      <c r="Y24" s="25" t="n"/>
      <c r="Z24" s="32" t="n"/>
      <c r="AA24" s="32" t="n"/>
      <c r="AB24" s="18" t="n"/>
      <c r="AC24" s="20" t="n"/>
      <c r="AD24" s="26">
        <f>IF($P24="","",MAX(0,$P24-N($X24)))</f>
        <v/>
      </c>
      <c r="AE24" s="23">
        <f>IF($A24="","",IF($M24="","Falta recurso",IF(IFERROR(VLOOKUP($M24,Recursos!$A$6:$H$105,7,FALSE),"No")&lt;&gt;"Sí","Recurso no activo",IF(OR($B24="",$H24="",$L24=""),"Faltan fecha u horarios",IF(OR($G24&gt;$H24,$H24&gt;$I24,$I24&gt;$J24,$J24&gt;$K24,$K24&gt;$L24),"Revisar secuencia horaria",IF(SUMPRODUCT(($B$6:$B$205=$B24)*($M$6:$M$205=$M24)*($H$6:$H$205&lt;$L24)*($L$6:$L$205&gt;$H24)*N($P$6:$P$205))&gt;N($R24),"Stock insuficiente",IF(AND($U24&lt;&gt;"",SUMPRODUCT(($B$6:$B$205=$B24)*($U$6:$U$205=$U24)*($A$6:$A$205&lt;&gt;$A24)*($H$6:$H$205&lt;$L24)*($L$6:$L$205&gt;$H24))&gt;0),"Vehículo solapado",IF(AND($Z24&lt;&gt;"",$J24&lt;&gt;"",$Z24&gt;$J24),"Entrega fuera de ventana",IF(AND($W24="Devuelto",N($Y24)&lt;N($X24)),"Devolución incompleta","")))))))))</f>
        <v/>
      </c>
      <c r="AF24" s="24">
        <f>IF($A24="","",IF(OR($B24="",$C24="",$D24="",$E24="",$H24="",$I24="",$J24="",$L24="",$M24="",$P24="",$U24="",$V24="",$W24=""),"Revisar",IF($AE24&lt;&gt;"","Revisar","Correcto")))</f>
        <v/>
      </c>
    </row>
    <row r="25">
      <c r="A25" s="18" t="n"/>
      <c r="B25" s="19" t="n"/>
      <c r="C25" s="20" t="n"/>
      <c r="D25" s="20" t="n"/>
      <c r="E25" s="18" t="n"/>
      <c r="F25" s="21" t="n"/>
      <c r="G25" s="32" t="n"/>
      <c r="H25" s="32" t="n"/>
      <c r="I25" s="32" t="n"/>
      <c r="J25" s="32" t="n"/>
      <c r="K25" s="32" t="n"/>
      <c r="L25" s="32" t="n"/>
      <c r="M25" s="18" t="n"/>
      <c r="N25" s="23">
        <f>IF($M25="","",IFERROR(VLOOKUP($M25,Recursos!$A$6:$H$105,3,FALSE),"Código no encontrado"))</f>
        <v/>
      </c>
      <c r="O25" s="24">
        <f>IF($M25="","",IFERROR(VLOOKUP($M25,Recursos!$A$6:$H$105,2,FALSE),""))</f>
        <v/>
      </c>
      <c r="P25" s="25" t="n"/>
      <c r="Q25" s="24">
        <f>IF($M25="","",IFERROR(VLOOKUP($M25,Recursos!$A$6:$H$105,5,FALSE),""))</f>
        <v/>
      </c>
      <c r="R25" s="26">
        <f>IF($M25="","",IFERROR(VLOOKUP($M25,Recursos!$A$6:$H$105,4,FALSE),""))</f>
        <v/>
      </c>
      <c r="S25" s="27">
        <f>IF($M25="","",IFERROR(VLOOKUP($M25,Recursos!$A$6:$H$105,6,FALSE),""))</f>
        <v/>
      </c>
      <c r="T25" s="27">
        <f>IF(OR($P25="",$S25=""),"",ROUND($P25*$S25,2))</f>
        <v/>
      </c>
      <c r="U25" s="18" t="n"/>
      <c r="V25" s="18" t="n"/>
      <c r="W25" s="18" t="n"/>
      <c r="X25" s="25" t="n"/>
      <c r="Y25" s="25" t="n"/>
      <c r="Z25" s="32" t="n"/>
      <c r="AA25" s="32" t="n"/>
      <c r="AB25" s="18" t="n"/>
      <c r="AC25" s="20" t="n"/>
      <c r="AD25" s="26">
        <f>IF($P25="","",MAX(0,$P25-N($X25)))</f>
        <v/>
      </c>
      <c r="AE25" s="23">
        <f>IF($A25="","",IF($M25="","Falta recurso",IF(IFERROR(VLOOKUP($M25,Recursos!$A$6:$H$105,7,FALSE),"No")&lt;&gt;"Sí","Recurso no activo",IF(OR($B25="",$H25="",$L25=""),"Faltan fecha u horarios",IF(OR($G25&gt;$H25,$H25&gt;$I25,$I25&gt;$J25,$J25&gt;$K25,$K25&gt;$L25),"Revisar secuencia horaria",IF(SUMPRODUCT(($B$6:$B$205=$B25)*($M$6:$M$205=$M25)*($H$6:$H$205&lt;$L25)*($L$6:$L$205&gt;$H25)*N($P$6:$P$205))&gt;N($R25),"Stock insuficiente",IF(AND($U25&lt;&gt;"",SUMPRODUCT(($B$6:$B$205=$B25)*($U$6:$U$205=$U25)*($A$6:$A$205&lt;&gt;$A25)*($H$6:$H$205&lt;$L25)*($L$6:$L$205&gt;$H25))&gt;0),"Vehículo solapado",IF(AND($Z25&lt;&gt;"",$J25&lt;&gt;"",$Z25&gt;$J25),"Entrega fuera de ventana",IF(AND($W25="Devuelto",N($Y25)&lt;N($X25)),"Devolución incompleta","")))))))))</f>
        <v/>
      </c>
      <c r="AF25" s="24">
        <f>IF($A25="","",IF(OR($B25="",$C25="",$D25="",$E25="",$H25="",$I25="",$J25="",$L25="",$M25="",$P25="",$U25="",$V25="",$W25=""),"Revisar",IF($AE25&lt;&gt;"","Revisar","Correcto")))</f>
        <v/>
      </c>
    </row>
    <row r="26">
      <c r="A26" s="18" t="n"/>
      <c r="B26" s="19" t="n"/>
      <c r="C26" s="20" t="n"/>
      <c r="D26" s="20" t="n"/>
      <c r="E26" s="18" t="n"/>
      <c r="F26" s="21" t="n"/>
      <c r="G26" s="32" t="n"/>
      <c r="H26" s="32" t="n"/>
      <c r="I26" s="32" t="n"/>
      <c r="J26" s="32" t="n"/>
      <c r="K26" s="32" t="n"/>
      <c r="L26" s="32" t="n"/>
      <c r="M26" s="18" t="n"/>
      <c r="N26" s="23">
        <f>IF($M26="","",IFERROR(VLOOKUP($M26,Recursos!$A$6:$H$105,3,FALSE),"Código no encontrado"))</f>
        <v/>
      </c>
      <c r="O26" s="24">
        <f>IF($M26="","",IFERROR(VLOOKUP($M26,Recursos!$A$6:$H$105,2,FALSE),""))</f>
        <v/>
      </c>
      <c r="P26" s="25" t="n"/>
      <c r="Q26" s="24">
        <f>IF($M26="","",IFERROR(VLOOKUP($M26,Recursos!$A$6:$H$105,5,FALSE),""))</f>
        <v/>
      </c>
      <c r="R26" s="26">
        <f>IF($M26="","",IFERROR(VLOOKUP($M26,Recursos!$A$6:$H$105,4,FALSE),""))</f>
        <v/>
      </c>
      <c r="S26" s="27">
        <f>IF($M26="","",IFERROR(VLOOKUP($M26,Recursos!$A$6:$H$105,6,FALSE),""))</f>
        <v/>
      </c>
      <c r="T26" s="27">
        <f>IF(OR($P26="",$S26=""),"",ROUND($P26*$S26,2))</f>
        <v/>
      </c>
      <c r="U26" s="18" t="n"/>
      <c r="V26" s="18" t="n"/>
      <c r="W26" s="18" t="n"/>
      <c r="X26" s="25" t="n"/>
      <c r="Y26" s="25" t="n"/>
      <c r="Z26" s="32" t="n"/>
      <c r="AA26" s="32" t="n"/>
      <c r="AB26" s="18" t="n"/>
      <c r="AC26" s="20" t="n"/>
      <c r="AD26" s="26">
        <f>IF($P26="","",MAX(0,$P26-N($X26)))</f>
        <v/>
      </c>
      <c r="AE26" s="23">
        <f>IF($A26="","",IF($M26="","Falta recurso",IF(IFERROR(VLOOKUP($M26,Recursos!$A$6:$H$105,7,FALSE),"No")&lt;&gt;"Sí","Recurso no activo",IF(OR($B26="",$H26="",$L26=""),"Faltan fecha u horarios",IF(OR($G26&gt;$H26,$H26&gt;$I26,$I26&gt;$J26,$J26&gt;$K26,$K26&gt;$L26),"Revisar secuencia horaria",IF(SUMPRODUCT(($B$6:$B$205=$B26)*($M$6:$M$205=$M26)*($H$6:$H$205&lt;$L26)*($L$6:$L$205&gt;$H26)*N($P$6:$P$205))&gt;N($R26),"Stock insuficiente",IF(AND($U26&lt;&gt;"",SUMPRODUCT(($B$6:$B$205=$B26)*($U$6:$U$205=$U26)*($A$6:$A$205&lt;&gt;$A26)*($H$6:$H$205&lt;$L26)*($L$6:$L$205&gt;$H26))&gt;0),"Vehículo solapado",IF(AND($Z26&lt;&gt;"",$J26&lt;&gt;"",$Z26&gt;$J26),"Entrega fuera de ventana",IF(AND($W26="Devuelto",N($Y26)&lt;N($X26)),"Devolución incompleta","")))))))))</f>
        <v/>
      </c>
      <c r="AF26" s="24">
        <f>IF($A26="","",IF(OR($B26="",$C26="",$D26="",$E26="",$H26="",$I26="",$J26="",$L26="",$M26="",$P26="",$U26="",$V26="",$W26=""),"Revisar",IF($AE26&lt;&gt;"","Revisar","Correcto")))</f>
        <v/>
      </c>
    </row>
    <row r="27">
      <c r="A27" s="18" t="n"/>
      <c r="B27" s="19" t="n"/>
      <c r="C27" s="20" t="n"/>
      <c r="D27" s="20" t="n"/>
      <c r="E27" s="18" t="n"/>
      <c r="F27" s="21" t="n"/>
      <c r="G27" s="32" t="n"/>
      <c r="H27" s="32" t="n"/>
      <c r="I27" s="32" t="n"/>
      <c r="J27" s="32" t="n"/>
      <c r="K27" s="32" t="n"/>
      <c r="L27" s="32" t="n"/>
      <c r="M27" s="18" t="n"/>
      <c r="N27" s="23">
        <f>IF($M27="","",IFERROR(VLOOKUP($M27,Recursos!$A$6:$H$105,3,FALSE),"Código no encontrado"))</f>
        <v/>
      </c>
      <c r="O27" s="24">
        <f>IF($M27="","",IFERROR(VLOOKUP($M27,Recursos!$A$6:$H$105,2,FALSE),""))</f>
        <v/>
      </c>
      <c r="P27" s="25" t="n"/>
      <c r="Q27" s="24">
        <f>IF($M27="","",IFERROR(VLOOKUP($M27,Recursos!$A$6:$H$105,5,FALSE),""))</f>
        <v/>
      </c>
      <c r="R27" s="26">
        <f>IF($M27="","",IFERROR(VLOOKUP($M27,Recursos!$A$6:$H$105,4,FALSE),""))</f>
        <v/>
      </c>
      <c r="S27" s="27">
        <f>IF($M27="","",IFERROR(VLOOKUP($M27,Recursos!$A$6:$H$105,6,FALSE),""))</f>
        <v/>
      </c>
      <c r="T27" s="27">
        <f>IF(OR($P27="",$S27=""),"",ROUND($P27*$S27,2))</f>
        <v/>
      </c>
      <c r="U27" s="18" t="n"/>
      <c r="V27" s="18" t="n"/>
      <c r="W27" s="18" t="n"/>
      <c r="X27" s="25" t="n"/>
      <c r="Y27" s="25" t="n"/>
      <c r="Z27" s="32" t="n"/>
      <c r="AA27" s="32" t="n"/>
      <c r="AB27" s="18" t="n"/>
      <c r="AC27" s="20" t="n"/>
      <c r="AD27" s="26">
        <f>IF($P27="","",MAX(0,$P27-N($X27)))</f>
        <v/>
      </c>
      <c r="AE27" s="23">
        <f>IF($A27="","",IF($M27="","Falta recurso",IF(IFERROR(VLOOKUP($M27,Recursos!$A$6:$H$105,7,FALSE),"No")&lt;&gt;"Sí","Recurso no activo",IF(OR($B27="",$H27="",$L27=""),"Faltan fecha u horarios",IF(OR($G27&gt;$H27,$H27&gt;$I27,$I27&gt;$J27,$J27&gt;$K27,$K27&gt;$L27),"Revisar secuencia horaria",IF(SUMPRODUCT(($B$6:$B$205=$B27)*($M$6:$M$205=$M27)*($H$6:$H$205&lt;$L27)*($L$6:$L$205&gt;$H27)*N($P$6:$P$205))&gt;N($R27),"Stock insuficiente",IF(AND($U27&lt;&gt;"",SUMPRODUCT(($B$6:$B$205=$B27)*($U$6:$U$205=$U27)*($A$6:$A$205&lt;&gt;$A27)*($H$6:$H$205&lt;$L27)*($L$6:$L$205&gt;$H27))&gt;0),"Vehículo solapado",IF(AND($Z27&lt;&gt;"",$J27&lt;&gt;"",$Z27&gt;$J27),"Entrega fuera de ventana",IF(AND($W27="Devuelto",N($Y27)&lt;N($X27)),"Devolución incompleta","")))))))))</f>
        <v/>
      </c>
      <c r="AF27" s="24">
        <f>IF($A27="","",IF(OR($B27="",$C27="",$D27="",$E27="",$H27="",$I27="",$J27="",$L27="",$M27="",$P27="",$U27="",$V27="",$W27=""),"Revisar",IF($AE27&lt;&gt;"","Revisar","Correcto")))</f>
        <v/>
      </c>
    </row>
    <row r="28">
      <c r="A28" s="18" t="n"/>
      <c r="B28" s="19" t="n"/>
      <c r="C28" s="20" t="n"/>
      <c r="D28" s="20" t="n"/>
      <c r="E28" s="18" t="n"/>
      <c r="F28" s="21" t="n"/>
      <c r="G28" s="32" t="n"/>
      <c r="H28" s="32" t="n"/>
      <c r="I28" s="32" t="n"/>
      <c r="J28" s="32" t="n"/>
      <c r="K28" s="32" t="n"/>
      <c r="L28" s="32" t="n"/>
      <c r="M28" s="18" t="n"/>
      <c r="N28" s="23">
        <f>IF($M28="","",IFERROR(VLOOKUP($M28,Recursos!$A$6:$H$105,3,FALSE),"Código no encontrado"))</f>
        <v/>
      </c>
      <c r="O28" s="24">
        <f>IF($M28="","",IFERROR(VLOOKUP($M28,Recursos!$A$6:$H$105,2,FALSE),""))</f>
        <v/>
      </c>
      <c r="P28" s="25" t="n"/>
      <c r="Q28" s="24">
        <f>IF($M28="","",IFERROR(VLOOKUP($M28,Recursos!$A$6:$H$105,5,FALSE),""))</f>
        <v/>
      </c>
      <c r="R28" s="26">
        <f>IF($M28="","",IFERROR(VLOOKUP($M28,Recursos!$A$6:$H$105,4,FALSE),""))</f>
        <v/>
      </c>
      <c r="S28" s="27">
        <f>IF($M28="","",IFERROR(VLOOKUP($M28,Recursos!$A$6:$H$105,6,FALSE),""))</f>
        <v/>
      </c>
      <c r="T28" s="27">
        <f>IF(OR($P28="",$S28=""),"",ROUND($P28*$S28,2))</f>
        <v/>
      </c>
      <c r="U28" s="18" t="n"/>
      <c r="V28" s="18" t="n"/>
      <c r="W28" s="18" t="n"/>
      <c r="X28" s="25" t="n"/>
      <c r="Y28" s="25" t="n"/>
      <c r="Z28" s="32" t="n"/>
      <c r="AA28" s="32" t="n"/>
      <c r="AB28" s="18" t="n"/>
      <c r="AC28" s="20" t="n"/>
      <c r="AD28" s="26">
        <f>IF($P28="","",MAX(0,$P28-N($X28)))</f>
        <v/>
      </c>
      <c r="AE28" s="23">
        <f>IF($A28="","",IF($M28="","Falta recurso",IF(IFERROR(VLOOKUP($M28,Recursos!$A$6:$H$105,7,FALSE),"No")&lt;&gt;"Sí","Recurso no activo",IF(OR($B28="",$H28="",$L28=""),"Faltan fecha u horarios",IF(OR($G28&gt;$H28,$H28&gt;$I28,$I28&gt;$J28,$J28&gt;$K28,$K28&gt;$L28),"Revisar secuencia horaria",IF(SUMPRODUCT(($B$6:$B$205=$B28)*($M$6:$M$205=$M28)*($H$6:$H$205&lt;$L28)*($L$6:$L$205&gt;$H28)*N($P$6:$P$205))&gt;N($R28),"Stock insuficiente",IF(AND($U28&lt;&gt;"",SUMPRODUCT(($B$6:$B$205=$B28)*($U$6:$U$205=$U28)*($A$6:$A$205&lt;&gt;$A28)*($H$6:$H$205&lt;$L28)*($L$6:$L$205&gt;$H28))&gt;0),"Vehículo solapado",IF(AND($Z28&lt;&gt;"",$J28&lt;&gt;"",$Z28&gt;$J28),"Entrega fuera de ventana",IF(AND($W28="Devuelto",N($Y28)&lt;N($X28)),"Devolución incompleta","")))))))))</f>
        <v/>
      </c>
      <c r="AF28" s="24">
        <f>IF($A28="","",IF(OR($B28="",$C28="",$D28="",$E28="",$H28="",$I28="",$J28="",$L28="",$M28="",$P28="",$U28="",$V28="",$W28=""),"Revisar",IF($AE28&lt;&gt;"","Revisar","Correcto")))</f>
        <v/>
      </c>
    </row>
    <row r="29">
      <c r="A29" s="18" t="n"/>
      <c r="B29" s="19" t="n"/>
      <c r="C29" s="20" t="n"/>
      <c r="D29" s="20" t="n"/>
      <c r="E29" s="18" t="n"/>
      <c r="F29" s="21" t="n"/>
      <c r="G29" s="32" t="n"/>
      <c r="H29" s="32" t="n"/>
      <c r="I29" s="32" t="n"/>
      <c r="J29" s="32" t="n"/>
      <c r="K29" s="32" t="n"/>
      <c r="L29" s="32" t="n"/>
      <c r="M29" s="18" t="n"/>
      <c r="N29" s="23">
        <f>IF($M29="","",IFERROR(VLOOKUP($M29,Recursos!$A$6:$H$105,3,FALSE),"Código no encontrado"))</f>
        <v/>
      </c>
      <c r="O29" s="24">
        <f>IF($M29="","",IFERROR(VLOOKUP($M29,Recursos!$A$6:$H$105,2,FALSE),""))</f>
        <v/>
      </c>
      <c r="P29" s="25" t="n"/>
      <c r="Q29" s="24">
        <f>IF($M29="","",IFERROR(VLOOKUP($M29,Recursos!$A$6:$H$105,5,FALSE),""))</f>
        <v/>
      </c>
      <c r="R29" s="26">
        <f>IF($M29="","",IFERROR(VLOOKUP($M29,Recursos!$A$6:$H$105,4,FALSE),""))</f>
        <v/>
      </c>
      <c r="S29" s="27">
        <f>IF($M29="","",IFERROR(VLOOKUP($M29,Recursos!$A$6:$H$105,6,FALSE),""))</f>
        <v/>
      </c>
      <c r="T29" s="27">
        <f>IF(OR($P29="",$S29=""),"",ROUND($P29*$S29,2))</f>
        <v/>
      </c>
      <c r="U29" s="18" t="n"/>
      <c r="V29" s="18" t="n"/>
      <c r="W29" s="18" t="n"/>
      <c r="X29" s="25" t="n"/>
      <c r="Y29" s="25" t="n"/>
      <c r="Z29" s="32" t="n"/>
      <c r="AA29" s="32" t="n"/>
      <c r="AB29" s="18" t="n"/>
      <c r="AC29" s="20" t="n"/>
      <c r="AD29" s="26">
        <f>IF($P29="","",MAX(0,$P29-N($X29)))</f>
        <v/>
      </c>
      <c r="AE29" s="23">
        <f>IF($A29="","",IF($M29="","Falta recurso",IF(IFERROR(VLOOKUP($M29,Recursos!$A$6:$H$105,7,FALSE),"No")&lt;&gt;"Sí","Recurso no activo",IF(OR($B29="",$H29="",$L29=""),"Faltan fecha u horarios",IF(OR($G29&gt;$H29,$H29&gt;$I29,$I29&gt;$J29,$J29&gt;$K29,$K29&gt;$L29),"Revisar secuencia horaria",IF(SUMPRODUCT(($B$6:$B$205=$B29)*($M$6:$M$205=$M29)*($H$6:$H$205&lt;$L29)*($L$6:$L$205&gt;$H29)*N($P$6:$P$205))&gt;N($R29),"Stock insuficiente",IF(AND($U29&lt;&gt;"",SUMPRODUCT(($B$6:$B$205=$B29)*($U$6:$U$205=$U29)*($A$6:$A$205&lt;&gt;$A29)*($H$6:$H$205&lt;$L29)*($L$6:$L$205&gt;$H29))&gt;0),"Vehículo solapado",IF(AND($Z29&lt;&gt;"",$J29&lt;&gt;"",$Z29&gt;$J29),"Entrega fuera de ventana",IF(AND($W29="Devuelto",N($Y29)&lt;N($X29)),"Devolución incompleta","")))))))))</f>
        <v/>
      </c>
      <c r="AF29" s="24">
        <f>IF($A29="","",IF(OR($B29="",$C29="",$D29="",$E29="",$H29="",$I29="",$J29="",$L29="",$M29="",$P29="",$U29="",$V29="",$W29=""),"Revisar",IF($AE29&lt;&gt;"","Revisar","Correcto")))</f>
        <v/>
      </c>
    </row>
    <row r="30">
      <c r="A30" s="18" t="n"/>
      <c r="B30" s="19" t="n"/>
      <c r="C30" s="20" t="n"/>
      <c r="D30" s="20" t="n"/>
      <c r="E30" s="18" t="n"/>
      <c r="F30" s="21" t="n"/>
      <c r="G30" s="32" t="n"/>
      <c r="H30" s="32" t="n"/>
      <c r="I30" s="32" t="n"/>
      <c r="J30" s="32" t="n"/>
      <c r="K30" s="32" t="n"/>
      <c r="L30" s="32" t="n"/>
      <c r="M30" s="18" t="n"/>
      <c r="N30" s="23">
        <f>IF($M30="","",IFERROR(VLOOKUP($M30,Recursos!$A$6:$H$105,3,FALSE),"Código no encontrado"))</f>
        <v/>
      </c>
      <c r="O30" s="24">
        <f>IF($M30="","",IFERROR(VLOOKUP($M30,Recursos!$A$6:$H$105,2,FALSE),""))</f>
        <v/>
      </c>
      <c r="P30" s="25" t="n"/>
      <c r="Q30" s="24">
        <f>IF($M30="","",IFERROR(VLOOKUP($M30,Recursos!$A$6:$H$105,5,FALSE),""))</f>
        <v/>
      </c>
      <c r="R30" s="26">
        <f>IF($M30="","",IFERROR(VLOOKUP($M30,Recursos!$A$6:$H$105,4,FALSE),""))</f>
        <v/>
      </c>
      <c r="S30" s="27">
        <f>IF($M30="","",IFERROR(VLOOKUP($M30,Recursos!$A$6:$H$105,6,FALSE),""))</f>
        <v/>
      </c>
      <c r="T30" s="27">
        <f>IF(OR($P30="",$S30=""),"",ROUND($P30*$S30,2))</f>
        <v/>
      </c>
      <c r="U30" s="18" t="n"/>
      <c r="V30" s="18" t="n"/>
      <c r="W30" s="18" t="n"/>
      <c r="X30" s="25" t="n"/>
      <c r="Y30" s="25" t="n"/>
      <c r="Z30" s="32" t="n"/>
      <c r="AA30" s="32" t="n"/>
      <c r="AB30" s="18" t="n"/>
      <c r="AC30" s="20" t="n"/>
      <c r="AD30" s="26">
        <f>IF($P30="","",MAX(0,$P30-N($X30)))</f>
        <v/>
      </c>
      <c r="AE30" s="23">
        <f>IF($A30="","",IF($M30="","Falta recurso",IF(IFERROR(VLOOKUP($M30,Recursos!$A$6:$H$105,7,FALSE),"No")&lt;&gt;"Sí","Recurso no activo",IF(OR($B30="",$H30="",$L30=""),"Faltan fecha u horarios",IF(OR($G30&gt;$H30,$H30&gt;$I30,$I30&gt;$J30,$J30&gt;$K30,$K30&gt;$L30),"Revisar secuencia horaria",IF(SUMPRODUCT(($B$6:$B$205=$B30)*($M$6:$M$205=$M30)*($H$6:$H$205&lt;$L30)*($L$6:$L$205&gt;$H30)*N($P$6:$P$205))&gt;N($R30),"Stock insuficiente",IF(AND($U30&lt;&gt;"",SUMPRODUCT(($B$6:$B$205=$B30)*($U$6:$U$205=$U30)*($A$6:$A$205&lt;&gt;$A30)*($H$6:$H$205&lt;$L30)*($L$6:$L$205&gt;$H30))&gt;0),"Vehículo solapado",IF(AND($Z30&lt;&gt;"",$J30&lt;&gt;"",$Z30&gt;$J30),"Entrega fuera de ventana",IF(AND($W30="Devuelto",N($Y30)&lt;N($X30)),"Devolución incompleta","")))))))))</f>
        <v/>
      </c>
      <c r="AF30" s="24">
        <f>IF($A30="","",IF(OR($B30="",$C30="",$D30="",$E30="",$H30="",$I30="",$J30="",$L30="",$M30="",$P30="",$U30="",$V30="",$W30=""),"Revisar",IF($AE30&lt;&gt;"","Revisar","Correcto")))</f>
        <v/>
      </c>
    </row>
    <row r="31">
      <c r="A31" s="18" t="n"/>
      <c r="B31" s="19" t="n"/>
      <c r="C31" s="20" t="n"/>
      <c r="D31" s="20" t="n"/>
      <c r="E31" s="18" t="n"/>
      <c r="F31" s="21" t="n"/>
      <c r="G31" s="32" t="n"/>
      <c r="H31" s="32" t="n"/>
      <c r="I31" s="32" t="n"/>
      <c r="J31" s="32" t="n"/>
      <c r="K31" s="32" t="n"/>
      <c r="L31" s="32" t="n"/>
      <c r="M31" s="18" t="n"/>
      <c r="N31" s="23">
        <f>IF($M31="","",IFERROR(VLOOKUP($M31,Recursos!$A$6:$H$105,3,FALSE),"Código no encontrado"))</f>
        <v/>
      </c>
      <c r="O31" s="24">
        <f>IF($M31="","",IFERROR(VLOOKUP($M31,Recursos!$A$6:$H$105,2,FALSE),""))</f>
        <v/>
      </c>
      <c r="P31" s="25" t="n"/>
      <c r="Q31" s="24">
        <f>IF($M31="","",IFERROR(VLOOKUP($M31,Recursos!$A$6:$H$105,5,FALSE),""))</f>
        <v/>
      </c>
      <c r="R31" s="26">
        <f>IF($M31="","",IFERROR(VLOOKUP($M31,Recursos!$A$6:$H$105,4,FALSE),""))</f>
        <v/>
      </c>
      <c r="S31" s="27">
        <f>IF($M31="","",IFERROR(VLOOKUP($M31,Recursos!$A$6:$H$105,6,FALSE),""))</f>
        <v/>
      </c>
      <c r="T31" s="27">
        <f>IF(OR($P31="",$S31=""),"",ROUND($P31*$S31,2))</f>
        <v/>
      </c>
      <c r="U31" s="18" t="n"/>
      <c r="V31" s="18" t="n"/>
      <c r="W31" s="18" t="n"/>
      <c r="X31" s="25" t="n"/>
      <c r="Y31" s="25" t="n"/>
      <c r="Z31" s="32" t="n"/>
      <c r="AA31" s="32" t="n"/>
      <c r="AB31" s="18" t="n"/>
      <c r="AC31" s="20" t="n"/>
      <c r="AD31" s="26">
        <f>IF($P31="","",MAX(0,$P31-N($X31)))</f>
        <v/>
      </c>
      <c r="AE31" s="23">
        <f>IF($A31="","",IF($M31="","Falta recurso",IF(IFERROR(VLOOKUP($M31,Recursos!$A$6:$H$105,7,FALSE),"No")&lt;&gt;"Sí","Recurso no activo",IF(OR($B31="",$H31="",$L31=""),"Faltan fecha u horarios",IF(OR($G31&gt;$H31,$H31&gt;$I31,$I31&gt;$J31,$J31&gt;$K31,$K31&gt;$L31),"Revisar secuencia horaria",IF(SUMPRODUCT(($B$6:$B$205=$B31)*($M$6:$M$205=$M31)*($H$6:$H$205&lt;$L31)*($L$6:$L$205&gt;$H31)*N($P$6:$P$205))&gt;N($R31),"Stock insuficiente",IF(AND($U31&lt;&gt;"",SUMPRODUCT(($B$6:$B$205=$B31)*($U$6:$U$205=$U31)*($A$6:$A$205&lt;&gt;$A31)*($H$6:$H$205&lt;$L31)*($L$6:$L$205&gt;$H31))&gt;0),"Vehículo solapado",IF(AND($Z31&lt;&gt;"",$J31&lt;&gt;"",$Z31&gt;$J31),"Entrega fuera de ventana",IF(AND($W31="Devuelto",N($Y31)&lt;N($X31)),"Devolución incompleta","")))))))))</f>
        <v/>
      </c>
      <c r="AF31" s="24">
        <f>IF($A31="","",IF(OR($B31="",$C31="",$D31="",$E31="",$H31="",$I31="",$J31="",$L31="",$M31="",$P31="",$U31="",$V31="",$W31=""),"Revisar",IF($AE31&lt;&gt;"","Revisar","Correcto")))</f>
        <v/>
      </c>
    </row>
    <row r="32">
      <c r="A32" s="18" t="n"/>
      <c r="B32" s="19" t="n"/>
      <c r="C32" s="20" t="n"/>
      <c r="D32" s="20" t="n"/>
      <c r="E32" s="18" t="n"/>
      <c r="F32" s="21" t="n"/>
      <c r="G32" s="32" t="n"/>
      <c r="H32" s="32" t="n"/>
      <c r="I32" s="32" t="n"/>
      <c r="J32" s="32" t="n"/>
      <c r="K32" s="32" t="n"/>
      <c r="L32" s="32" t="n"/>
      <c r="M32" s="18" t="n"/>
      <c r="N32" s="23">
        <f>IF($M32="","",IFERROR(VLOOKUP($M32,Recursos!$A$6:$H$105,3,FALSE),"Código no encontrado"))</f>
        <v/>
      </c>
      <c r="O32" s="24">
        <f>IF($M32="","",IFERROR(VLOOKUP($M32,Recursos!$A$6:$H$105,2,FALSE),""))</f>
        <v/>
      </c>
      <c r="P32" s="25" t="n"/>
      <c r="Q32" s="24">
        <f>IF($M32="","",IFERROR(VLOOKUP($M32,Recursos!$A$6:$H$105,5,FALSE),""))</f>
        <v/>
      </c>
      <c r="R32" s="26">
        <f>IF($M32="","",IFERROR(VLOOKUP($M32,Recursos!$A$6:$H$105,4,FALSE),""))</f>
        <v/>
      </c>
      <c r="S32" s="27">
        <f>IF($M32="","",IFERROR(VLOOKUP($M32,Recursos!$A$6:$H$105,6,FALSE),""))</f>
        <v/>
      </c>
      <c r="T32" s="27">
        <f>IF(OR($P32="",$S32=""),"",ROUND($P32*$S32,2))</f>
        <v/>
      </c>
      <c r="U32" s="18" t="n"/>
      <c r="V32" s="18" t="n"/>
      <c r="W32" s="18" t="n"/>
      <c r="X32" s="25" t="n"/>
      <c r="Y32" s="25" t="n"/>
      <c r="Z32" s="32" t="n"/>
      <c r="AA32" s="32" t="n"/>
      <c r="AB32" s="18" t="n"/>
      <c r="AC32" s="20" t="n"/>
      <c r="AD32" s="26">
        <f>IF($P32="","",MAX(0,$P32-N($X32)))</f>
        <v/>
      </c>
      <c r="AE32" s="23">
        <f>IF($A32="","",IF($M32="","Falta recurso",IF(IFERROR(VLOOKUP($M32,Recursos!$A$6:$H$105,7,FALSE),"No")&lt;&gt;"Sí","Recurso no activo",IF(OR($B32="",$H32="",$L32=""),"Faltan fecha u horarios",IF(OR($G32&gt;$H32,$H32&gt;$I32,$I32&gt;$J32,$J32&gt;$K32,$K32&gt;$L32),"Revisar secuencia horaria",IF(SUMPRODUCT(($B$6:$B$205=$B32)*($M$6:$M$205=$M32)*($H$6:$H$205&lt;$L32)*($L$6:$L$205&gt;$H32)*N($P$6:$P$205))&gt;N($R32),"Stock insuficiente",IF(AND($U32&lt;&gt;"",SUMPRODUCT(($B$6:$B$205=$B32)*($U$6:$U$205=$U32)*($A$6:$A$205&lt;&gt;$A32)*($H$6:$H$205&lt;$L32)*($L$6:$L$205&gt;$H32))&gt;0),"Vehículo solapado",IF(AND($Z32&lt;&gt;"",$J32&lt;&gt;"",$Z32&gt;$J32),"Entrega fuera de ventana",IF(AND($W32="Devuelto",N($Y32)&lt;N($X32)),"Devolución incompleta","")))))))))</f>
        <v/>
      </c>
      <c r="AF32" s="24">
        <f>IF($A32="","",IF(OR($B32="",$C32="",$D32="",$E32="",$H32="",$I32="",$J32="",$L32="",$M32="",$P32="",$U32="",$V32="",$W32=""),"Revisar",IF($AE32&lt;&gt;"","Revisar","Correcto")))</f>
        <v/>
      </c>
    </row>
    <row r="33">
      <c r="A33" s="18" t="n"/>
      <c r="B33" s="19" t="n"/>
      <c r="C33" s="20" t="n"/>
      <c r="D33" s="20" t="n"/>
      <c r="E33" s="18" t="n"/>
      <c r="F33" s="21" t="n"/>
      <c r="G33" s="32" t="n"/>
      <c r="H33" s="32" t="n"/>
      <c r="I33" s="32" t="n"/>
      <c r="J33" s="32" t="n"/>
      <c r="K33" s="32" t="n"/>
      <c r="L33" s="32" t="n"/>
      <c r="M33" s="18" t="n"/>
      <c r="N33" s="23">
        <f>IF($M33="","",IFERROR(VLOOKUP($M33,Recursos!$A$6:$H$105,3,FALSE),"Código no encontrado"))</f>
        <v/>
      </c>
      <c r="O33" s="24">
        <f>IF($M33="","",IFERROR(VLOOKUP($M33,Recursos!$A$6:$H$105,2,FALSE),""))</f>
        <v/>
      </c>
      <c r="P33" s="25" t="n"/>
      <c r="Q33" s="24">
        <f>IF($M33="","",IFERROR(VLOOKUP($M33,Recursos!$A$6:$H$105,5,FALSE),""))</f>
        <v/>
      </c>
      <c r="R33" s="26">
        <f>IF($M33="","",IFERROR(VLOOKUP($M33,Recursos!$A$6:$H$105,4,FALSE),""))</f>
        <v/>
      </c>
      <c r="S33" s="27">
        <f>IF($M33="","",IFERROR(VLOOKUP($M33,Recursos!$A$6:$H$105,6,FALSE),""))</f>
        <v/>
      </c>
      <c r="T33" s="27">
        <f>IF(OR($P33="",$S33=""),"",ROUND($P33*$S33,2))</f>
        <v/>
      </c>
      <c r="U33" s="18" t="n"/>
      <c r="V33" s="18" t="n"/>
      <c r="W33" s="18" t="n"/>
      <c r="X33" s="25" t="n"/>
      <c r="Y33" s="25" t="n"/>
      <c r="Z33" s="32" t="n"/>
      <c r="AA33" s="32" t="n"/>
      <c r="AB33" s="18" t="n"/>
      <c r="AC33" s="20" t="n"/>
      <c r="AD33" s="26">
        <f>IF($P33="","",MAX(0,$P33-N($X33)))</f>
        <v/>
      </c>
      <c r="AE33" s="23">
        <f>IF($A33="","",IF($M33="","Falta recurso",IF(IFERROR(VLOOKUP($M33,Recursos!$A$6:$H$105,7,FALSE),"No")&lt;&gt;"Sí","Recurso no activo",IF(OR($B33="",$H33="",$L33=""),"Faltan fecha u horarios",IF(OR($G33&gt;$H33,$H33&gt;$I33,$I33&gt;$J33,$J33&gt;$K33,$K33&gt;$L33),"Revisar secuencia horaria",IF(SUMPRODUCT(($B$6:$B$205=$B33)*($M$6:$M$205=$M33)*($H$6:$H$205&lt;$L33)*($L$6:$L$205&gt;$H33)*N($P$6:$P$205))&gt;N($R33),"Stock insuficiente",IF(AND($U33&lt;&gt;"",SUMPRODUCT(($B$6:$B$205=$B33)*($U$6:$U$205=$U33)*($A$6:$A$205&lt;&gt;$A33)*($H$6:$H$205&lt;$L33)*($L$6:$L$205&gt;$H33))&gt;0),"Vehículo solapado",IF(AND($Z33&lt;&gt;"",$J33&lt;&gt;"",$Z33&gt;$J33),"Entrega fuera de ventana",IF(AND($W33="Devuelto",N($Y33)&lt;N($X33)),"Devolución incompleta","")))))))))</f>
        <v/>
      </c>
      <c r="AF33" s="24">
        <f>IF($A33="","",IF(OR($B33="",$C33="",$D33="",$E33="",$H33="",$I33="",$J33="",$L33="",$M33="",$P33="",$U33="",$V33="",$W33=""),"Revisar",IF($AE33&lt;&gt;"","Revisar","Correcto")))</f>
        <v/>
      </c>
    </row>
    <row r="34">
      <c r="A34" s="18" t="n"/>
      <c r="B34" s="19" t="n"/>
      <c r="C34" s="20" t="n"/>
      <c r="D34" s="20" t="n"/>
      <c r="E34" s="18" t="n"/>
      <c r="F34" s="21" t="n"/>
      <c r="G34" s="32" t="n"/>
      <c r="H34" s="32" t="n"/>
      <c r="I34" s="32" t="n"/>
      <c r="J34" s="32" t="n"/>
      <c r="K34" s="32" t="n"/>
      <c r="L34" s="32" t="n"/>
      <c r="M34" s="18" t="n"/>
      <c r="N34" s="23">
        <f>IF($M34="","",IFERROR(VLOOKUP($M34,Recursos!$A$6:$H$105,3,FALSE),"Código no encontrado"))</f>
        <v/>
      </c>
      <c r="O34" s="24">
        <f>IF($M34="","",IFERROR(VLOOKUP($M34,Recursos!$A$6:$H$105,2,FALSE),""))</f>
        <v/>
      </c>
      <c r="P34" s="25" t="n"/>
      <c r="Q34" s="24">
        <f>IF($M34="","",IFERROR(VLOOKUP($M34,Recursos!$A$6:$H$105,5,FALSE),""))</f>
        <v/>
      </c>
      <c r="R34" s="26">
        <f>IF($M34="","",IFERROR(VLOOKUP($M34,Recursos!$A$6:$H$105,4,FALSE),""))</f>
        <v/>
      </c>
      <c r="S34" s="27">
        <f>IF($M34="","",IFERROR(VLOOKUP($M34,Recursos!$A$6:$H$105,6,FALSE),""))</f>
        <v/>
      </c>
      <c r="T34" s="27">
        <f>IF(OR($P34="",$S34=""),"",ROUND($P34*$S34,2))</f>
        <v/>
      </c>
      <c r="U34" s="18" t="n"/>
      <c r="V34" s="18" t="n"/>
      <c r="W34" s="18" t="n"/>
      <c r="X34" s="25" t="n"/>
      <c r="Y34" s="25" t="n"/>
      <c r="Z34" s="32" t="n"/>
      <c r="AA34" s="32" t="n"/>
      <c r="AB34" s="18" t="n"/>
      <c r="AC34" s="20" t="n"/>
      <c r="AD34" s="26">
        <f>IF($P34="","",MAX(0,$P34-N($X34)))</f>
        <v/>
      </c>
      <c r="AE34" s="23">
        <f>IF($A34="","",IF($M34="","Falta recurso",IF(IFERROR(VLOOKUP($M34,Recursos!$A$6:$H$105,7,FALSE),"No")&lt;&gt;"Sí","Recurso no activo",IF(OR($B34="",$H34="",$L34=""),"Faltan fecha u horarios",IF(OR($G34&gt;$H34,$H34&gt;$I34,$I34&gt;$J34,$J34&gt;$K34,$K34&gt;$L34),"Revisar secuencia horaria",IF(SUMPRODUCT(($B$6:$B$205=$B34)*($M$6:$M$205=$M34)*($H$6:$H$205&lt;$L34)*($L$6:$L$205&gt;$H34)*N($P$6:$P$205))&gt;N($R34),"Stock insuficiente",IF(AND($U34&lt;&gt;"",SUMPRODUCT(($B$6:$B$205=$B34)*($U$6:$U$205=$U34)*($A$6:$A$205&lt;&gt;$A34)*($H$6:$H$205&lt;$L34)*($L$6:$L$205&gt;$H34))&gt;0),"Vehículo solapado",IF(AND($Z34&lt;&gt;"",$J34&lt;&gt;"",$Z34&gt;$J34),"Entrega fuera de ventana",IF(AND($W34="Devuelto",N($Y34)&lt;N($X34)),"Devolución incompleta","")))))))))</f>
        <v/>
      </c>
      <c r="AF34" s="24">
        <f>IF($A34="","",IF(OR($B34="",$C34="",$D34="",$E34="",$H34="",$I34="",$J34="",$L34="",$M34="",$P34="",$U34="",$V34="",$W34=""),"Revisar",IF($AE34&lt;&gt;"","Revisar","Correcto")))</f>
        <v/>
      </c>
    </row>
    <row r="35">
      <c r="A35" s="18" t="n"/>
      <c r="B35" s="19" t="n"/>
      <c r="C35" s="20" t="n"/>
      <c r="D35" s="20" t="n"/>
      <c r="E35" s="18" t="n"/>
      <c r="F35" s="21" t="n"/>
      <c r="G35" s="32" t="n"/>
      <c r="H35" s="32" t="n"/>
      <c r="I35" s="32" t="n"/>
      <c r="J35" s="32" t="n"/>
      <c r="K35" s="32" t="n"/>
      <c r="L35" s="32" t="n"/>
      <c r="M35" s="18" t="n"/>
      <c r="N35" s="23">
        <f>IF($M35="","",IFERROR(VLOOKUP($M35,Recursos!$A$6:$H$105,3,FALSE),"Código no encontrado"))</f>
        <v/>
      </c>
      <c r="O35" s="24">
        <f>IF($M35="","",IFERROR(VLOOKUP($M35,Recursos!$A$6:$H$105,2,FALSE),""))</f>
        <v/>
      </c>
      <c r="P35" s="25" t="n"/>
      <c r="Q35" s="24">
        <f>IF($M35="","",IFERROR(VLOOKUP($M35,Recursos!$A$6:$H$105,5,FALSE),""))</f>
        <v/>
      </c>
      <c r="R35" s="26">
        <f>IF($M35="","",IFERROR(VLOOKUP($M35,Recursos!$A$6:$H$105,4,FALSE),""))</f>
        <v/>
      </c>
      <c r="S35" s="27">
        <f>IF($M35="","",IFERROR(VLOOKUP($M35,Recursos!$A$6:$H$105,6,FALSE),""))</f>
        <v/>
      </c>
      <c r="T35" s="27">
        <f>IF(OR($P35="",$S35=""),"",ROUND($P35*$S35,2))</f>
        <v/>
      </c>
      <c r="U35" s="18" t="n"/>
      <c r="V35" s="18" t="n"/>
      <c r="W35" s="18" t="n"/>
      <c r="X35" s="25" t="n"/>
      <c r="Y35" s="25" t="n"/>
      <c r="Z35" s="32" t="n"/>
      <c r="AA35" s="32" t="n"/>
      <c r="AB35" s="18" t="n"/>
      <c r="AC35" s="20" t="n"/>
      <c r="AD35" s="26">
        <f>IF($P35="","",MAX(0,$P35-N($X35)))</f>
        <v/>
      </c>
      <c r="AE35" s="23">
        <f>IF($A35="","",IF($M35="","Falta recurso",IF(IFERROR(VLOOKUP($M35,Recursos!$A$6:$H$105,7,FALSE),"No")&lt;&gt;"Sí","Recurso no activo",IF(OR($B35="",$H35="",$L35=""),"Faltan fecha u horarios",IF(OR($G35&gt;$H35,$H35&gt;$I35,$I35&gt;$J35,$J35&gt;$K35,$K35&gt;$L35),"Revisar secuencia horaria",IF(SUMPRODUCT(($B$6:$B$205=$B35)*($M$6:$M$205=$M35)*($H$6:$H$205&lt;$L35)*($L$6:$L$205&gt;$H35)*N($P$6:$P$205))&gt;N($R35),"Stock insuficiente",IF(AND($U35&lt;&gt;"",SUMPRODUCT(($B$6:$B$205=$B35)*($U$6:$U$205=$U35)*($A$6:$A$205&lt;&gt;$A35)*($H$6:$H$205&lt;$L35)*($L$6:$L$205&gt;$H35))&gt;0),"Vehículo solapado",IF(AND($Z35&lt;&gt;"",$J35&lt;&gt;"",$Z35&gt;$J35),"Entrega fuera de ventana",IF(AND($W35="Devuelto",N($Y35)&lt;N($X35)),"Devolución incompleta","")))))))))</f>
        <v/>
      </c>
      <c r="AF35" s="24">
        <f>IF($A35="","",IF(OR($B35="",$C35="",$D35="",$E35="",$H35="",$I35="",$J35="",$L35="",$M35="",$P35="",$U35="",$V35="",$W35=""),"Revisar",IF($AE35&lt;&gt;"","Revisar","Correcto")))</f>
        <v/>
      </c>
    </row>
    <row r="36">
      <c r="A36" s="18" t="n"/>
      <c r="B36" s="19" t="n"/>
      <c r="C36" s="20" t="n"/>
      <c r="D36" s="20" t="n"/>
      <c r="E36" s="18" t="n"/>
      <c r="F36" s="21" t="n"/>
      <c r="G36" s="32" t="n"/>
      <c r="H36" s="32" t="n"/>
      <c r="I36" s="32" t="n"/>
      <c r="J36" s="32" t="n"/>
      <c r="K36" s="32" t="n"/>
      <c r="L36" s="32" t="n"/>
      <c r="M36" s="18" t="n"/>
      <c r="N36" s="23">
        <f>IF($M36="","",IFERROR(VLOOKUP($M36,Recursos!$A$6:$H$105,3,FALSE),"Código no encontrado"))</f>
        <v/>
      </c>
      <c r="O36" s="24">
        <f>IF($M36="","",IFERROR(VLOOKUP($M36,Recursos!$A$6:$H$105,2,FALSE),""))</f>
        <v/>
      </c>
      <c r="P36" s="25" t="n"/>
      <c r="Q36" s="24">
        <f>IF($M36="","",IFERROR(VLOOKUP($M36,Recursos!$A$6:$H$105,5,FALSE),""))</f>
        <v/>
      </c>
      <c r="R36" s="26">
        <f>IF($M36="","",IFERROR(VLOOKUP($M36,Recursos!$A$6:$H$105,4,FALSE),""))</f>
        <v/>
      </c>
      <c r="S36" s="27">
        <f>IF($M36="","",IFERROR(VLOOKUP($M36,Recursos!$A$6:$H$105,6,FALSE),""))</f>
        <v/>
      </c>
      <c r="T36" s="27">
        <f>IF(OR($P36="",$S36=""),"",ROUND($P36*$S36,2))</f>
        <v/>
      </c>
      <c r="U36" s="18" t="n"/>
      <c r="V36" s="18" t="n"/>
      <c r="W36" s="18" t="n"/>
      <c r="X36" s="25" t="n"/>
      <c r="Y36" s="25" t="n"/>
      <c r="Z36" s="32" t="n"/>
      <c r="AA36" s="32" t="n"/>
      <c r="AB36" s="18" t="n"/>
      <c r="AC36" s="20" t="n"/>
      <c r="AD36" s="26">
        <f>IF($P36="","",MAX(0,$P36-N($X36)))</f>
        <v/>
      </c>
      <c r="AE36" s="23">
        <f>IF($A36="","",IF($M36="","Falta recurso",IF(IFERROR(VLOOKUP($M36,Recursos!$A$6:$H$105,7,FALSE),"No")&lt;&gt;"Sí","Recurso no activo",IF(OR($B36="",$H36="",$L36=""),"Faltan fecha u horarios",IF(OR($G36&gt;$H36,$H36&gt;$I36,$I36&gt;$J36,$J36&gt;$K36,$K36&gt;$L36),"Revisar secuencia horaria",IF(SUMPRODUCT(($B$6:$B$205=$B36)*($M$6:$M$205=$M36)*($H$6:$H$205&lt;$L36)*($L$6:$L$205&gt;$H36)*N($P$6:$P$205))&gt;N($R36),"Stock insuficiente",IF(AND($U36&lt;&gt;"",SUMPRODUCT(($B$6:$B$205=$B36)*($U$6:$U$205=$U36)*($A$6:$A$205&lt;&gt;$A36)*($H$6:$H$205&lt;$L36)*($L$6:$L$205&gt;$H36))&gt;0),"Vehículo solapado",IF(AND($Z36&lt;&gt;"",$J36&lt;&gt;"",$Z36&gt;$J36),"Entrega fuera de ventana",IF(AND($W36="Devuelto",N($Y36)&lt;N($X36)),"Devolución incompleta","")))))))))</f>
        <v/>
      </c>
      <c r="AF36" s="24">
        <f>IF($A36="","",IF(OR($B36="",$C36="",$D36="",$E36="",$H36="",$I36="",$J36="",$L36="",$M36="",$P36="",$U36="",$V36="",$W36=""),"Revisar",IF($AE36&lt;&gt;"","Revisar","Correcto")))</f>
        <v/>
      </c>
    </row>
    <row r="37">
      <c r="A37" s="18" t="n"/>
      <c r="B37" s="19" t="n"/>
      <c r="C37" s="20" t="n"/>
      <c r="D37" s="20" t="n"/>
      <c r="E37" s="18" t="n"/>
      <c r="F37" s="21" t="n"/>
      <c r="G37" s="32" t="n"/>
      <c r="H37" s="32" t="n"/>
      <c r="I37" s="32" t="n"/>
      <c r="J37" s="32" t="n"/>
      <c r="K37" s="32" t="n"/>
      <c r="L37" s="32" t="n"/>
      <c r="M37" s="18" t="n"/>
      <c r="N37" s="23">
        <f>IF($M37="","",IFERROR(VLOOKUP($M37,Recursos!$A$6:$H$105,3,FALSE),"Código no encontrado"))</f>
        <v/>
      </c>
      <c r="O37" s="24">
        <f>IF($M37="","",IFERROR(VLOOKUP($M37,Recursos!$A$6:$H$105,2,FALSE),""))</f>
        <v/>
      </c>
      <c r="P37" s="25" t="n"/>
      <c r="Q37" s="24">
        <f>IF($M37="","",IFERROR(VLOOKUP($M37,Recursos!$A$6:$H$105,5,FALSE),""))</f>
        <v/>
      </c>
      <c r="R37" s="26">
        <f>IF($M37="","",IFERROR(VLOOKUP($M37,Recursos!$A$6:$H$105,4,FALSE),""))</f>
        <v/>
      </c>
      <c r="S37" s="27">
        <f>IF($M37="","",IFERROR(VLOOKUP($M37,Recursos!$A$6:$H$105,6,FALSE),""))</f>
        <v/>
      </c>
      <c r="T37" s="27">
        <f>IF(OR($P37="",$S37=""),"",ROUND($P37*$S37,2))</f>
        <v/>
      </c>
      <c r="U37" s="18" t="n"/>
      <c r="V37" s="18" t="n"/>
      <c r="W37" s="18" t="n"/>
      <c r="X37" s="25" t="n"/>
      <c r="Y37" s="25" t="n"/>
      <c r="Z37" s="32" t="n"/>
      <c r="AA37" s="32" t="n"/>
      <c r="AB37" s="18" t="n"/>
      <c r="AC37" s="20" t="n"/>
      <c r="AD37" s="26">
        <f>IF($P37="","",MAX(0,$P37-N($X37)))</f>
        <v/>
      </c>
      <c r="AE37" s="23">
        <f>IF($A37="","",IF($M37="","Falta recurso",IF(IFERROR(VLOOKUP($M37,Recursos!$A$6:$H$105,7,FALSE),"No")&lt;&gt;"Sí","Recurso no activo",IF(OR($B37="",$H37="",$L37=""),"Faltan fecha u horarios",IF(OR($G37&gt;$H37,$H37&gt;$I37,$I37&gt;$J37,$J37&gt;$K37,$K37&gt;$L37),"Revisar secuencia horaria",IF(SUMPRODUCT(($B$6:$B$205=$B37)*($M$6:$M$205=$M37)*($H$6:$H$205&lt;$L37)*($L$6:$L$205&gt;$H37)*N($P$6:$P$205))&gt;N($R37),"Stock insuficiente",IF(AND($U37&lt;&gt;"",SUMPRODUCT(($B$6:$B$205=$B37)*($U$6:$U$205=$U37)*($A$6:$A$205&lt;&gt;$A37)*($H$6:$H$205&lt;$L37)*($L$6:$L$205&gt;$H37))&gt;0),"Vehículo solapado",IF(AND($Z37&lt;&gt;"",$J37&lt;&gt;"",$Z37&gt;$J37),"Entrega fuera de ventana",IF(AND($W37="Devuelto",N($Y37)&lt;N($X37)),"Devolución incompleta","")))))))))</f>
        <v/>
      </c>
      <c r="AF37" s="24">
        <f>IF($A37="","",IF(OR($B37="",$C37="",$D37="",$E37="",$H37="",$I37="",$J37="",$L37="",$M37="",$P37="",$U37="",$V37="",$W37=""),"Revisar",IF($AE37&lt;&gt;"","Revisar","Correcto")))</f>
        <v/>
      </c>
    </row>
    <row r="38">
      <c r="A38" s="18" t="n"/>
      <c r="B38" s="19" t="n"/>
      <c r="C38" s="20" t="n"/>
      <c r="D38" s="20" t="n"/>
      <c r="E38" s="18" t="n"/>
      <c r="F38" s="21" t="n"/>
      <c r="G38" s="32" t="n"/>
      <c r="H38" s="32" t="n"/>
      <c r="I38" s="32" t="n"/>
      <c r="J38" s="32" t="n"/>
      <c r="K38" s="32" t="n"/>
      <c r="L38" s="32" t="n"/>
      <c r="M38" s="18" t="n"/>
      <c r="N38" s="23">
        <f>IF($M38="","",IFERROR(VLOOKUP($M38,Recursos!$A$6:$H$105,3,FALSE),"Código no encontrado"))</f>
        <v/>
      </c>
      <c r="O38" s="24">
        <f>IF($M38="","",IFERROR(VLOOKUP($M38,Recursos!$A$6:$H$105,2,FALSE),""))</f>
        <v/>
      </c>
      <c r="P38" s="25" t="n"/>
      <c r="Q38" s="24">
        <f>IF($M38="","",IFERROR(VLOOKUP($M38,Recursos!$A$6:$H$105,5,FALSE),""))</f>
        <v/>
      </c>
      <c r="R38" s="26">
        <f>IF($M38="","",IFERROR(VLOOKUP($M38,Recursos!$A$6:$H$105,4,FALSE),""))</f>
        <v/>
      </c>
      <c r="S38" s="27">
        <f>IF($M38="","",IFERROR(VLOOKUP($M38,Recursos!$A$6:$H$105,6,FALSE),""))</f>
        <v/>
      </c>
      <c r="T38" s="27">
        <f>IF(OR($P38="",$S38=""),"",ROUND($P38*$S38,2))</f>
        <v/>
      </c>
      <c r="U38" s="18" t="n"/>
      <c r="V38" s="18" t="n"/>
      <c r="W38" s="18" t="n"/>
      <c r="X38" s="25" t="n"/>
      <c r="Y38" s="25" t="n"/>
      <c r="Z38" s="32" t="n"/>
      <c r="AA38" s="32" t="n"/>
      <c r="AB38" s="18" t="n"/>
      <c r="AC38" s="20" t="n"/>
      <c r="AD38" s="26">
        <f>IF($P38="","",MAX(0,$P38-N($X38)))</f>
        <v/>
      </c>
      <c r="AE38" s="23">
        <f>IF($A38="","",IF($M38="","Falta recurso",IF(IFERROR(VLOOKUP($M38,Recursos!$A$6:$H$105,7,FALSE),"No")&lt;&gt;"Sí","Recurso no activo",IF(OR($B38="",$H38="",$L38=""),"Faltan fecha u horarios",IF(OR($G38&gt;$H38,$H38&gt;$I38,$I38&gt;$J38,$J38&gt;$K38,$K38&gt;$L38),"Revisar secuencia horaria",IF(SUMPRODUCT(($B$6:$B$205=$B38)*($M$6:$M$205=$M38)*($H$6:$H$205&lt;$L38)*($L$6:$L$205&gt;$H38)*N($P$6:$P$205))&gt;N($R38),"Stock insuficiente",IF(AND($U38&lt;&gt;"",SUMPRODUCT(($B$6:$B$205=$B38)*($U$6:$U$205=$U38)*($A$6:$A$205&lt;&gt;$A38)*($H$6:$H$205&lt;$L38)*($L$6:$L$205&gt;$H38))&gt;0),"Vehículo solapado",IF(AND($Z38&lt;&gt;"",$J38&lt;&gt;"",$Z38&gt;$J38),"Entrega fuera de ventana",IF(AND($W38="Devuelto",N($Y38)&lt;N($X38)),"Devolución incompleta","")))))))))</f>
        <v/>
      </c>
      <c r="AF38" s="24">
        <f>IF($A38="","",IF(OR($B38="",$C38="",$D38="",$E38="",$H38="",$I38="",$J38="",$L38="",$M38="",$P38="",$U38="",$V38="",$W38=""),"Revisar",IF($AE38&lt;&gt;"","Revisar","Correcto")))</f>
        <v/>
      </c>
    </row>
    <row r="39">
      <c r="A39" s="18" t="n"/>
      <c r="B39" s="19" t="n"/>
      <c r="C39" s="20" t="n"/>
      <c r="D39" s="20" t="n"/>
      <c r="E39" s="18" t="n"/>
      <c r="F39" s="21" t="n"/>
      <c r="G39" s="32" t="n"/>
      <c r="H39" s="32" t="n"/>
      <c r="I39" s="32" t="n"/>
      <c r="J39" s="32" t="n"/>
      <c r="K39" s="32" t="n"/>
      <c r="L39" s="32" t="n"/>
      <c r="M39" s="18" t="n"/>
      <c r="N39" s="23">
        <f>IF($M39="","",IFERROR(VLOOKUP($M39,Recursos!$A$6:$H$105,3,FALSE),"Código no encontrado"))</f>
        <v/>
      </c>
      <c r="O39" s="24">
        <f>IF($M39="","",IFERROR(VLOOKUP($M39,Recursos!$A$6:$H$105,2,FALSE),""))</f>
        <v/>
      </c>
      <c r="P39" s="25" t="n"/>
      <c r="Q39" s="24">
        <f>IF($M39="","",IFERROR(VLOOKUP($M39,Recursos!$A$6:$H$105,5,FALSE),""))</f>
        <v/>
      </c>
      <c r="R39" s="26">
        <f>IF($M39="","",IFERROR(VLOOKUP($M39,Recursos!$A$6:$H$105,4,FALSE),""))</f>
        <v/>
      </c>
      <c r="S39" s="27">
        <f>IF($M39="","",IFERROR(VLOOKUP($M39,Recursos!$A$6:$H$105,6,FALSE),""))</f>
        <v/>
      </c>
      <c r="T39" s="27">
        <f>IF(OR($P39="",$S39=""),"",ROUND($P39*$S39,2))</f>
        <v/>
      </c>
      <c r="U39" s="18" t="n"/>
      <c r="V39" s="18" t="n"/>
      <c r="W39" s="18" t="n"/>
      <c r="X39" s="25" t="n"/>
      <c r="Y39" s="25" t="n"/>
      <c r="Z39" s="32" t="n"/>
      <c r="AA39" s="32" t="n"/>
      <c r="AB39" s="18" t="n"/>
      <c r="AC39" s="20" t="n"/>
      <c r="AD39" s="26">
        <f>IF($P39="","",MAX(0,$P39-N($X39)))</f>
        <v/>
      </c>
      <c r="AE39" s="23">
        <f>IF($A39="","",IF($M39="","Falta recurso",IF(IFERROR(VLOOKUP($M39,Recursos!$A$6:$H$105,7,FALSE),"No")&lt;&gt;"Sí","Recurso no activo",IF(OR($B39="",$H39="",$L39=""),"Faltan fecha u horarios",IF(OR($G39&gt;$H39,$H39&gt;$I39,$I39&gt;$J39,$J39&gt;$K39,$K39&gt;$L39),"Revisar secuencia horaria",IF(SUMPRODUCT(($B$6:$B$205=$B39)*($M$6:$M$205=$M39)*($H$6:$H$205&lt;$L39)*($L$6:$L$205&gt;$H39)*N($P$6:$P$205))&gt;N($R39),"Stock insuficiente",IF(AND($U39&lt;&gt;"",SUMPRODUCT(($B$6:$B$205=$B39)*($U$6:$U$205=$U39)*($A$6:$A$205&lt;&gt;$A39)*($H$6:$H$205&lt;$L39)*($L$6:$L$205&gt;$H39))&gt;0),"Vehículo solapado",IF(AND($Z39&lt;&gt;"",$J39&lt;&gt;"",$Z39&gt;$J39),"Entrega fuera de ventana",IF(AND($W39="Devuelto",N($Y39)&lt;N($X39)),"Devolución incompleta","")))))))))</f>
        <v/>
      </c>
      <c r="AF39" s="24">
        <f>IF($A39="","",IF(OR($B39="",$C39="",$D39="",$E39="",$H39="",$I39="",$J39="",$L39="",$M39="",$P39="",$U39="",$V39="",$W39=""),"Revisar",IF($AE39&lt;&gt;"","Revisar","Correcto")))</f>
        <v/>
      </c>
    </row>
    <row r="40">
      <c r="A40" s="18" t="n"/>
      <c r="B40" s="19" t="n"/>
      <c r="C40" s="20" t="n"/>
      <c r="D40" s="20" t="n"/>
      <c r="E40" s="18" t="n"/>
      <c r="F40" s="21" t="n"/>
      <c r="G40" s="32" t="n"/>
      <c r="H40" s="32" t="n"/>
      <c r="I40" s="32" t="n"/>
      <c r="J40" s="32" t="n"/>
      <c r="K40" s="32" t="n"/>
      <c r="L40" s="32" t="n"/>
      <c r="M40" s="18" t="n"/>
      <c r="N40" s="23">
        <f>IF($M40="","",IFERROR(VLOOKUP($M40,Recursos!$A$6:$H$105,3,FALSE),"Código no encontrado"))</f>
        <v/>
      </c>
      <c r="O40" s="24">
        <f>IF($M40="","",IFERROR(VLOOKUP($M40,Recursos!$A$6:$H$105,2,FALSE),""))</f>
        <v/>
      </c>
      <c r="P40" s="25" t="n"/>
      <c r="Q40" s="24">
        <f>IF($M40="","",IFERROR(VLOOKUP($M40,Recursos!$A$6:$H$105,5,FALSE),""))</f>
        <v/>
      </c>
      <c r="R40" s="26">
        <f>IF($M40="","",IFERROR(VLOOKUP($M40,Recursos!$A$6:$H$105,4,FALSE),""))</f>
        <v/>
      </c>
      <c r="S40" s="27">
        <f>IF($M40="","",IFERROR(VLOOKUP($M40,Recursos!$A$6:$H$105,6,FALSE),""))</f>
        <v/>
      </c>
      <c r="T40" s="27">
        <f>IF(OR($P40="",$S40=""),"",ROUND($P40*$S40,2))</f>
        <v/>
      </c>
      <c r="U40" s="18" t="n"/>
      <c r="V40" s="18" t="n"/>
      <c r="W40" s="18" t="n"/>
      <c r="X40" s="25" t="n"/>
      <c r="Y40" s="25" t="n"/>
      <c r="Z40" s="32" t="n"/>
      <c r="AA40" s="32" t="n"/>
      <c r="AB40" s="18" t="n"/>
      <c r="AC40" s="20" t="n"/>
      <c r="AD40" s="26">
        <f>IF($P40="","",MAX(0,$P40-N($X40)))</f>
        <v/>
      </c>
      <c r="AE40" s="23">
        <f>IF($A40="","",IF($M40="","Falta recurso",IF(IFERROR(VLOOKUP($M40,Recursos!$A$6:$H$105,7,FALSE),"No")&lt;&gt;"Sí","Recurso no activo",IF(OR($B40="",$H40="",$L40=""),"Faltan fecha u horarios",IF(OR($G40&gt;$H40,$H40&gt;$I40,$I40&gt;$J40,$J40&gt;$K40,$K40&gt;$L40),"Revisar secuencia horaria",IF(SUMPRODUCT(($B$6:$B$205=$B40)*($M$6:$M$205=$M40)*($H$6:$H$205&lt;$L40)*($L$6:$L$205&gt;$H40)*N($P$6:$P$205))&gt;N($R40),"Stock insuficiente",IF(AND($U40&lt;&gt;"",SUMPRODUCT(($B$6:$B$205=$B40)*($U$6:$U$205=$U40)*($A$6:$A$205&lt;&gt;$A40)*($H$6:$H$205&lt;$L40)*($L$6:$L$205&gt;$H40))&gt;0),"Vehículo solapado",IF(AND($Z40&lt;&gt;"",$J40&lt;&gt;"",$Z40&gt;$J40),"Entrega fuera de ventana",IF(AND($W40="Devuelto",N($Y40)&lt;N($X40)),"Devolución incompleta","")))))))))</f>
        <v/>
      </c>
      <c r="AF40" s="24">
        <f>IF($A40="","",IF(OR($B40="",$C40="",$D40="",$E40="",$H40="",$I40="",$J40="",$L40="",$M40="",$P40="",$U40="",$V40="",$W40=""),"Revisar",IF($AE40&lt;&gt;"","Revisar","Correcto")))</f>
        <v/>
      </c>
    </row>
    <row r="41">
      <c r="A41" s="18" t="n"/>
      <c r="B41" s="19" t="n"/>
      <c r="C41" s="20" t="n"/>
      <c r="D41" s="20" t="n"/>
      <c r="E41" s="18" t="n"/>
      <c r="F41" s="21" t="n"/>
      <c r="G41" s="32" t="n"/>
      <c r="H41" s="32" t="n"/>
      <c r="I41" s="32" t="n"/>
      <c r="J41" s="32" t="n"/>
      <c r="K41" s="32" t="n"/>
      <c r="L41" s="32" t="n"/>
      <c r="M41" s="18" t="n"/>
      <c r="N41" s="23">
        <f>IF($M41="","",IFERROR(VLOOKUP($M41,Recursos!$A$6:$H$105,3,FALSE),"Código no encontrado"))</f>
        <v/>
      </c>
      <c r="O41" s="24">
        <f>IF($M41="","",IFERROR(VLOOKUP($M41,Recursos!$A$6:$H$105,2,FALSE),""))</f>
        <v/>
      </c>
      <c r="P41" s="25" t="n"/>
      <c r="Q41" s="24">
        <f>IF($M41="","",IFERROR(VLOOKUP($M41,Recursos!$A$6:$H$105,5,FALSE),""))</f>
        <v/>
      </c>
      <c r="R41" s="26">
        <f>IF($M41="","",IFERROR(VLOOKUP($M41,Recursos!$A$6:$H$105,4,FALSE),""))</f>
        <v/>
      </c>
      <c r="S41" s="27">
        <f>IF($M41="","",IFERROR(VLOOKUP($M41,Recursos!$A$6:$H$105,6,FALSE),""))</f>
        <v/>
      </c>
      <c r="T41" s="27">
        <f>IF(OR($P41="",$S41=""),"",ROUND($P41*$S41,2))</f>
        <v/>
      </c>
      <c r="U41" s="18" t="n"/>
      <c r="V41" s="18" t="n"/>
      <c r="W41" s="18" t="n"/>
      <c r="X41" s="25" t="n"/>
      <c r="Y41" s="25" t="n"/>
      <c r="Z41" s="32" t="n"/>
      <c r="AA41" s="32" t="n"/>
      <c r="AB41" s="18" t="n"/>
      <c r="AC41" s="20" t="n"/>
      <c r="AD41" s="26">
        <f>IF($P41="","",MAX(0,$P41-N($X41)))</f>
        <v/>
      </c>
      <c r="AE41" s="23">
        <f>IF($A41="","",IF($M41="","Falta recurso",IF(IFERROR(VLOOKUP($M41,Recursos!$A$6:$H$105,7,FALSE),"No")&lt;&gt;"Sí","Recurso no activo",IF(OR($B41="",$H41="",$L41=""),"Faltan fecha u horarios",IF(OR($G41&gt;$H41,$H41&gt;$I41,$I41&gt;$J41,$J41&gt;$K41,$K41&gt;$L41),"Revisar secuencia horaria",IF(SUMPRODUCT(($B$6:$B$205=$B41)*($M$6:$M$205=$M41)*($H$6:$H$205&lt;$L41)*($L$6:$L$205&gt;$H41)*N($P$6:$P$205))&gt;N($R41),"Stock insuficiente",IF(AND($U41&lt;&gt;"",SUMPRODUCT(($B$6:$B$205=$B41)*($U$6:$U$205=$U41)*($A$6:$A$205&lt;&gt;$A41)*($H$6:$H$205&lt;$L41)*($L$6:$L$205&gt;$H41))&gt;0),"Vehículo solapado",IF(AND($Z41&lt;&gt;"",$J41&lt;&gt;"",$Z41&gt;$J41),"Entrega fuera de ventana",IF(AND($W41="Devuelto",N($Y41)&lt;N($X41)),"Devolución incompleta","")))))))))</f>
        <v/>
      </c>
      <c r="AF41" s="24">
        <f>IF($A41="","",IF(OR($B41="",$C41="",$D41="",$E41="",$H41="",$I41="",$J41="",$L41="",$M41="",$P41="",$U41="",$V41="",$W41=""),"Revisar",IF($AE41&lt;&gt;"","Revisar","Correcto")))</f>
        <v/>
      </c>
    </row>
    <row r="42">
      <c r="A42" s="18" t="n"/>
      <c r="B42" s="19" t="n"/>
      <c r="C42" s="20" t="n"/>
      <c r="D42" s="20" t="n"/>
      <c r="E42" s="18" t="n"/>
      <c r="F42" s="21" t="n"/>
      <c r="G42" s="32" t="n"/>
      <c r="H42" s="32" t="n"/>
      <c r="I42" s="32" t="n"/>
      <c r="J42" s="32" t="n"/>
      <c r="K42" s="32" t="n"/>
      <c r="L42" s="32" t="n"/>
      <c r="M42" s="18" t="n"/>
      <c r="N42" s="23">
        <f>IF($M42="","",IFERROR(VLOOKUP($M42,Recursos!$A$6:$H$105,3,FALSE),"Código no encontrado"))</f>
        <v/>
      </c>
      <c r="O42" s="24">
        <f>IF($M42="","",IFERROR(VLOOKUP($M42,Recursos!$A$6:$H$105,2,FALSE),""))</f>
        <v/>
      </c>
      <c r="P42" s="25" t="n"/>
      <c r="Q42" s="24">
        <f>IF($M42="","",IFERROR(VLOOKUP($M42,Recursos!$A$6:$H$105,5,FALSE),""))</f>
        <v/>
      </c>
      <c r="R42" s="26">
        <f>IF($M42="","",IFERROR(VLOOKUP($M42,Recursos!$A$6:$H$105,4,FALSE),""))</f>
        <v/>
      </c>
      <c r="S42" s="27">
        <f>IF($M42="","",IFERROR(VLOOKUP($M42,Recursos!$A$6:$H$105,6,FALSE),""))</f>
        <v/>
      </c>
      <c r="T42" s="27">
        <f>IF(OR($P42="",$S42=""),"",ROUND($P42*$S42,2))</f>
        <v/>
      </c>
      <c r="U42" s="18" t="n"/>
      <c r="V42" s="18" t="n"/>
      <c r="W42" s="18" t="n"/>
      <c r="X42" s="25" t="n"/>
      <c r="Y42" s="25" t="n"/>
      <c r="Z42" s="32" t="n"/>
      <c r="AA42" s="32" t="n"/>
      <c r="AB42" s="18" t="n"/>
      <c r="AC42" s="20" t="n"/>
      <c r="AD42" s="26">
        <f>IF($P42="","",MAX(0,$P42-N($X42)))</f>
        <v/>
      </c>
      <c r="AE42" s="23">
        <f>IF($A42="","",IF($M42="","Falta recurso",IF(IFERROR(VLOOKUP($M42,Recursos!$A$6:$H$105,7,FALSE),"No")&lt;&gt;"Sí","Recurso no activo",IF(OR($B42="",$H42="",$L42=""),"Faltan fecha u horarios",IF(OR($G42&gt;$H42,$H42&gt;$I42,$I42&gt;$J42,$J42&gt;$K42,$K42&gt;$L42),"Revisar secuencia horaria",IF(SUMPRODUCT(($B$6:$B$205=$B42)*($M$6:$M$205=$M42)*($H$6:$H$205&lt;$L42)*($L$6:$L$205&gt;$H42)*N($P$6:$P$205))&gt;N($R42),"Stock insuficiente",IF(AND($U42&lt;&gt;"",SUMPRODUCT(($B$6:$B$205=$B42)*($U$6:$U$205=$U42)*($A$6:$A$205&lt;&gt;$A42)*($H$6:$H$205&lt;$L42)*($L$6:$L$205&gt;$H42))&gt;0),"Vehículo solapado",IF(AND($Z42&lt;&gt;"",$J42&lt;&gt;"",$Z42&gt;$J42),"Entrega fuera de ventana",IF(AND($W42="Devuelto",N($Y42)&lt;N($X42)),"Devolución incompleta","")))))))))</f>
        <v/>
      </c>
      <c r="AF42" s="24">
        <f>IF($A42="","",IF(OR($B42="",$C42="",$D42="",$E42="",$H42="",$I42="",$J42="",$L42="",$M42="",$P42="",$U42="",$V42="",$W42=""),"Revisar",IF($AE42&lt;&gt;"","Revisar","Correcto")))</f>
        <v/>
      </c>
    </row>
    <row r="43">
      <c r="A43" s="18" t="n"/>
      <c r="B43" s="19" t="n"/>
      <c r="C43" s="20" t="n"/>
      <c r="D43" s="20" t="n"/>
      <c r="E43" s="18" t="n"/>
      <c r="F43" s="21" t="n"/>
      <c r="G43" s="32" t="n"/>
      <c r="H43" s="32" t="n"/>
      <c r="I43" s="32" t="n"/>
      <c r="J43" s="32" t="n"/>
      <c r="K43" s="32" t="n"/>
      <c r="L43" s="32" t="n"/>
      <c r="M43" s="18" t="n"/>
      <c r="N43" s="23">
        <f>IF($M43="","",IFERROR(VLOOKUP($M43,Recursos!$A$6:$H$105,3,FALSE),"Código no encontrado"))</f>
        <v/>
      </c>
      <c r="O43" s="24">
        <f>IF($M43="","",IFERROR(VLOOKUP($M43,Recursos!$A$6:$H$105,2,FALSE),""))</f>
        <v/>
      </c>
      <c r="P43" s="25" t="n"/>
      <c r="Q43" s="24">
        <f>IF($M43="","",IFERROR(VLOOKUP($M43,Recursos!$A$6:$H$105,5,FALSE),""))</f>
        <v/>
      </c>
      <c r="R43" s="26">
        <f>IF($M43="","",IFERROR(VLOOKUP($M43,Recursos!$A$6:$H$105,4,FALSE),""))</f>
        <v/>
      </c>
      <c r="S43" s="27">
        <f>IF($M43="","",IFERROR(VLOOKUP($M43,Recursos!$A$6:$H$105,6,FALSE),""))</f>
        <v/>
      </c>
      <c r="T43" s="27">
        <f>IF(OR($P43="",$S43=""),"",ROUND($P43*$S43,2))</f>
        <v/>
      </c>
      <c r="U43" s="18" t="n"/>
      <c r="V43" s="18" t="n"/>
      <c r="W43" s="18" t="n"/>
      <c r="X43" s="25" t="n"/>
      <c r="Y43" s="25" t="n"/>
      <c r="Z43" s="32" t="n"/>
      <c r="AA43" s="32" t="n"/>
      <c r="AB43" s="18" t="n"/>
      <c r="AC43" s="20" t="n"/>
      <c r="AD43" s="26">
        <f>IF($P43="","",MAX(0,$P43-N($X43)))</f>
        <v/>
      </c>
      <c r="AE43" s="23">
        <f>IF($A43="","",IF($M43="","Falta recurso",IF(IFERROR(VLOOKUP($M43,Recursos!$A$6:$H$105,7,FALSE),"No")&lt;&gt;"Sí","Recurso no activo",IF(OR($B43="",$H43="",$L43=""),"Faltan fecha u horarios",IF(OR($G43&gt;$H43,$H43&gt;$I43,$I43&gt;$J43,$J43&gt;$K43,$K43&gt;$L43),"Revisar secuencia horaria",IF(SUMPRODUCT(($B$6:$B$205=$B43)*($M$6:$M$205=$M43)*($H$6:$H$205&lt;$L43)*($L$6:$L$205&gt;$H43)*N($P$6:$P$205))&gt;N($R43),"Stock insuficiente",IF(AND($U43&lt;&gt;"",SUMPRODUCT(($B$6:$B$205=$B43)*($U$6:$U$205=$U43)*($A$6:$A$205&lt;&gt;$A43)*($H$6:$H$205&lt;$L43)*($L$6:$L$205&gt;$H43))&gt;0),"Vehículo solapado",IF(AND($Z43&lt;&gt;"",$J43&lt;&gt;"",$Z43&gt;$J43),"Entrega fuera de ventana",IF(AND($W43="Devuelto",N($Y43)&lt;N($X43)),"Devolución incompleta","")))))))))</f>
        <v/>
      </c>
      <c r="AF43" s="24">
        <f>IF($A43="","",IF(OR($B43="",$C43="",$D43="",$E43="",$H43="",$I43="",$J43="",$L43="",$M43="",$P43="",$U43="",$V43="",$W43=""),"Revisar",IF($AE43&lt;&gt;"","Revisar","Correcto")))</f>
        <v/>
      </c>
    </row>
    <row r="44">
      <c r="A44" s="18" t="n"/>
      <c r="B44" s="19" t="n"/>
      <c r="C44" s="20" t="n"/>
      <c r="D44" s="20" t="n"/>
      <c r="E44" s="18" t="n"/>
      <c r="F44" s="21" t="n"/>
      <c r="G44" s="32" t="n"/>
      <c r="H44" s="32" t="n"/>
      <c r="I44" s="32" t="n"/>
      <c r="J44" s="32" t="n"/>
      <c r="K44" s="32" t="n"/>
      <c r="L44" s="32" t="n"/>
      <c r="M44" s="18" t="n"/>
      <c r="N44" s="23">
        <f>IF($M44="","",IFERROR(VLOOKUP($M44,Recursos!$A$6:$H$105,3,FALSE),"Código no encontrado"))</f>
        <v/>
      </c>
      <c r="O44" s="24">
        <f>IF($M44="","",IFERROR(VLOOKUP($M44,Recursos!$A$6:$H$105,2,FALSE),""))</f>
        <v/>
      </c>
      <c r="P44" s="25" t="n"/>
      <c r="Q44" s="24">
        <f>IF($M44="","",IFERROR(VLOOKUP($M44,Recursos!$A$6:$H$105,5,FALSE),""))</f>
        <v/>
      </c>
      <c r="R44" s="26">
        <f>IF($M44="","",IFERROR(VLOOKUP($M44,Recursos!$A$6:$H$105,4,FALSE),""))</f>
        <v/>
      </c>
      <c r="S44" s="27">
        <f>IF($M44="","",IFERROR(VLOOKUP($M44,Recursos!$A$6:$H$105,6,FALSE),""))</f>
        <v/>
      </c>
      <c r="T44" s="27">
        <f>IF(OR($P44="",$S44=""),"",ROUND($P44*$S44,2))</f>
        <v/>
      </c>
      <c r="U44" s="18" t="n"/>
      <c r="V44" s="18" t="n"/>
      <c r="W44" s="18" t="n"/>
      <c r="X44" s="25" t="n"/>
      <c r="Y44" s="25" t="n"/>
      <c r="Z44" s="32" t="n"/>
      <c r="AA44" s="32" t="n"/>
      <c r="AB44" s="18" t="n"/>
      <c r="AC44" s="20" t="n"/>
      <c r="AD44" s="26">
        <f>IF($P44="","",MAX(0,$P44-N($X44)))</f>
        <v/>
      </c>
      <c r="AE44" s="23">
        <f>IF($A44="","",IF($M44="","Falta recurso",IF(IFERROR(VLOOKUP($M44,Recursos!$A$6:$H$105,7,FALSE),"No")&lt;&gt;"Sí","Recurso no activo",IF(OR($B44="",$H44="",$L44=""),"Faltan fecha u horarios",IF(OR($G44&gt;$H44,$H44&gt;$I44,$I44&gt;$J44,$J44&gt;$K44,$K44&gt;$L44),"Revisar secuencia horaria",IF(SUMPRODUCT(($B$6:$B$205=$B44)*($M$6:$M$205=$M44)*($H$6:$H$205&lt;$L44)*($L$6:$L$205&gt;$H44)*N($P$6:$P$205))&gt;N($R44),"Stock insuficiente",IF(AND($U44&lt;&gt;"",SUMPRODUCT(($B$6:$B$205=$B44)*($U$6:$U$205=$U44)*($A$6:$A$205&lt;&gt;$A44)*($H$6:$H$205&lt;$L44)*($L$6:$L$205&gt;$H44))&gt;0),"Vehículo solapado",IF(AND($Z44&lt;&gt;"",$J44&lt;&gt;"",$Z44&gt;$J44),"Entrega fuera de ventana",IF(AND($W44="Devuelto",N($Y44)&lt;N($X44)),"Devolución incompleta","")))))))))</f>
        <v/>
      </c>
      <c r="AF44" s="24">
        <f>IF($A44="","",IF(OR($B44="",$C44="",$D44="",$E44="",$H44="",$I44="",$J44="",$L44="",$M44="",$P44="",$U44="",$V44="",$W44=""),"Revisar",IF($AE44&lt;&gt;"","Revisar","Correcto")))</f>
        <v/>
      </c>
    </row>
    <row r="45">
      <c r="A45" s="18" t="n"/>
      <c r="B45" s="19" t="n"/>
      <c r="C45" s="20" t="n"/>
      <c r="D45" s="20" t="n"/>
      <c r="E45" s="18" t="n"/>
      <c r="F45" s="21" t="n"/>
      <c r="G45" s="32" t="n"/>
      <c r="H45" s="32" t="n"/>
      <c r="I45" s="32" t="n"/>
      <c r="J45" s="32" t="n"/>
      <c r="K45" s="32" t="n"/>
      <c r="L45" s="32" t="n"/>
      <c r="M45" s="18" t="n"/>
      <c r="N45" s="23">
        <f>IF($M45="","",IFERROR(VLOOKUP($M45,Recursos!$A$6:$H$105,3,FALSE),"Código no encontrado"))</f>
        <v/>
      </c>
      <c r="O45" s="24">
        <f>IF($M45="","",IFERROR(VLOOKUP($M45,Recursos!$A$6:$H$105,2,FALSE),""))</f>
        <v/>
      </c>
      <c r="P45" s="25" t="n"/>
      <c r="Q45" s="24">
        <f>IF($M45="","",IFERROR(VLOOKUP($M45,Recursos!$A$6:$H$105,5,FALSE),""))</f>
        <v/>
      </c>
      <c r="R45" s="26">
        <f>IF($M45="","",IFERROR(VLOOKUP($M45,Recursos!$A$6:$H$105,4,FALSE),""))</f>
        <v/>
      </c>
      <c r="S45" s="27">
        <f>IF($M45="","",IFERROR(VLOOKUP($M45,Recursos!$A$6:$H$105,6,FALSE),""))</f>
        <v/>
      </c>
      <c r="T45" s="27">
        <f>IF(OR($P45="",$S45=""),"",ROUND($P45*$S45,2))</f>
        <v/>
      </c>
      <c r="U45" s="18" t="n"/>
      <c r="V45" s="18" t="n"/>
      <c r="W45" s="18" t="n"/>
      <c r="X45" s="25" t="n"/>
      <c r="Y45" s="25" t="n"/>
      <c r="Z45" s="32" t="n"/>
      <c r="AA45" s="32" t="n"/>
      <c r="AB45" s="18" t="n"/>
      <c r="AC45" s="20" t="n"/>
      <c r="AD45" s="26">
        <f>IF($P45="","",MAX(0,$P45-N($X45)))</f>
        <v/>
      </c>
      <c r="AE45" s="23">
        <f>IF($A45="","",IF($M45="","Falta recurso",IF(IFERROR(VLOOKUP($M45,Recursos!$A$6:$H$105,7,FALSE),"No")&lt;&gt;"Sí","Recurso no activo",IF(OR($B45="",$H45="",$L45=""),"Faltan fecha u horarios",IF(OR($G45&gt;$H45,$H45&gt;$I45,$I45&gt;$J45,$J45&gt;$K45,$K45&gt;$L45),"Revisar secuencia horaria",IF(SUMPRODUCT(($B$6:$B$205=$B45)*($M$6:$M$205=$M45)*($H$6:$H$205&lt;$L45)*($L$6:$L$205&gt;$H45)*N($P$6:$P$205))&gt;N($R45),"Stock insuficiente",IF(AND($U45&lt;&gt;"",SUMPRODUCT(($B$6:$B$205=$B45)*($U$6:$U$205=$U45)*($A$6:$A$205&lt;&gt;$A45)*($H$6:$H$205&lt;$L45)*($L$6:$L$205&gt;$H45))&gt;0),"Vehículo solapado",IF(AND($Z45&lt;&gt;"",$J45&lt;&gt;"",$Z45&gt;$J45),"Entrega fuera de ventana",IF(AND($W45="Devuelto",N($Y45)&lt;N($X45)),"Devolución incompleta","")))))))))</f>
        <v/>
      </c>
      <c r="AF45" s="24">
        <f>IF($A45="","",IF(OR($B45="",$C45="",$D45="",$E45="",$H45="",$I45="",$J45="",$L45="",$M45="",$P45="",$U45="",$V45="",$W45=""),"Revisar",IF($AE45&lt;&gt;"","Revisar","Correcto")))</f>
        <v/>
      </c>
    </row>
    <row r="46">
      <c r="A46" s="18" t="n"/>
      <c r="B46" s="19" t="n"/>
      <c r="C46" s="20" t="n"/>
      <c r="D46" s="20" t="n"/>
      <c r="E46" s="18" t="n"/>
      <c r="F46" s="21" t="n"/>
      <c r="G46" s="32" t="n"/>
      <c r="H46" s="32" t="n"/>
      <c r="I46" s="32" t="n"/>
      <c r="J46" s="32" t="n"/>
      <c r="K46" s="32" t="n"/>
      <c r="L46" s="32" t="n"/>
      <c r="M46" s="18" t="n"/>
      <c r="N46" s="23">
        <f>IF($M46="","",IFERROR(VLOOKUP($M46,Recursos!$A$6:$H$105,3,FALSE),"Código no encontrado"))</f>
        <v/>
      </c>
      <c r="O46" s="24">
        <f>IF($M46="","",IFERROR(VLOOKUP($M46,Recursos!$A$6:$H$105,2,FALSE),""))</f>
        <v/>
      </c>
      <c r="P46" s="25" t="n"/>
      <c r="Q46" s="24">
        <f>IF($M46="","",IFERROR(VLOOKUP($M46,Recursos!$A$6:$H$105,5,FALSE),""))</f>
        <v/>
      </c>
      <c r="R46" s="26">
        <f>IF($M46="","",IFERROR(VLOOKUP($M46,Recursos!$A$6:$H$105,4,FALSE),""))</f>
        <v/>
      </c>
      <c r="S46" s="27">
        <f>IF($M46="","",IFERROR(VLOOKUP($M46,Recursos!$A$6:$H$105,6,FALSE),""))</f>
        <v/>
      </c>
      <c r="T46" s="27">
        <f>IF(OR($P46="",$S46=""),"",ROUND($P46*$S46,2))</f>
        <v/>
      </c>
      <c r="U46" s="18" t="n"/>
      <c r="V46" s="18" t="n"/>
      <c r="W46" s="18" t="n"/>
      <c r="X46" s="25" t="n"/>
      <c r="Y46" s="25" t="n"/>
      <c r="Z46" s="32" t="n"/>
      <c r="AA46" s="32" t="n"/>
      <c r="AB46" s="18" t="n"/>
      <c r="AC46" s="20" t="n"/>
      <c r="AD46" s="26">
        <f>IF($P46="","",MAX(0,$P46-N($X46)))</f>
        <v/>
      </c>
      <c r="AE46" s="23">
        <f>IF($A46="","",IF($M46="","Falta recurso",IF(IFERROR(VLOOKUP($M46,Recursos!$A$6:$H$105,7,FALSE),"No")&lt;&gt;"Sí","Recurso no activo",IF(OR($B46="",$H46="",$L46=""),"Faltan fecha u horarios",IF(OR($G46&gt;$H46,$H46&gt;$I46,$I46&gt;$J46,$J46&gt;$K46,$K46&gt;$L46),"Revisar secuencia horaria",IF(SUMPRODUCT(($B$6:$B$205=$B46)*($M$6:$M$205=$M46)*($H$6:$H$205&lt;$L46)*($L$6:$L$205&gt;$H46)*N($P$6:$P$205))&gt;N($R46),"Stock insuficiente",IF(AND($U46&lt;&gt;"",SUMPRODUCT(($B$6:$B$205=$B46)*($U$6:$U$205=$U46)*($A$6:$A$205&lt;&gt;$A46)*($H$6:$H$205&lt;$L46)*($L$6:$L$205&gt;$H46))&gt;0),"Vehículo solapado",IF(AND($Z46&lt;&gt;"",$J46&lt;&gt;"",$Z46&gt;$J46),"Entrega fuera de ventana",IF(AND($W46="Devuelto",N($Y46)&lt;N($X46)),"Devolución incompleta","")))))))))</f>
        <v/>
      </c>
      <c r="AF46" s="24">
        <f>IF($A46="","",IF(OR($B46="",$C46="",$D46="",$E46="",$H46="",$I46="",$J46="",$L46="",$M46="",$P46="",$U46="",$V46="",$W46=""),"Revisar",IF($AE46&lt;&gt;"","Revisar","Correcto")))</f>
        <v/>
      </c>
    </row>
    <row r="47">
      <c r="A47" s="18" t="n"/>
      <c r="B47" s="19" t="n"/>
      <c r="C47" s="20" t="n"/>
      <c r="D47" s="20" t="n"/>
      <c r="E47" s="18" t="n"/>
      <c r="F47" s="21" t="n"/>
      <c r="G47" s="32" t="n"/>
      <c r="H47" s="32" t="n"/>
      <c r="I47" s="32" t="n"/>
      <c r="J47" s="32" t="n"/>
      <c r="K47" s="32" t="n"/>
      <c r="L47" s="32" t="n"/>
      <c r="M47" s="18" t="n"/>
      <c r="N47" s="23">
        <f>IF($M47="","",IFERROR(VLOOKUP($M47,Recursos!$A$6:$H$105,3,FALSE),"Código no encontrado"))</f>
        <v/>
      </c>
      <c r="O47" s="24">
        <f>IF($M47="","",IFERROR(VLOOKUP($M47,Recursos!$A$6:$H$105,2,FALSE),""))</f>
        <v/>
      </c>
      <c r="P47" s="25" t="n"/>
      <c r="Q47" s="24">
        <f>IF($M47="","",IFERROR(VLOOKUP($M47,Recursos!$A$6:$H$105,5,FALSE),""))</f>
        <v/>
      </c>
      <c r="R47" s="26">
        <f>IF($M47="","",IFERROR(VLOOKUP($M47,Recursos!$A$6:$H$105,4,FALSE),""))</f>
        <v/>
      </c>
      <c r="S47" s="27">
        <f>IF($M47="","",IFERROR(VLOOKUP($M47,Recursos!$A$6:$H$105,6,FALSE),""))</f>
        <v/>
      </c>
      <c r="T47" s="27">
        <f>IF(OR($P47="",$S47=""),"",ROUND($P47*$S47,2))</f>
        <v/>
      </c>
      <c r="U47" s="18" t="n"/>
      <c r="V47" s="18" t="n"/>
      <c r="W47" s="18" t="n"/>
      <c r="X47" s="25" t="n"/>
      <c r="Y47" s="25" t="n"/>
      <c r="Z47" s="32" t="n"/>
      <c r="AA47" s="32" t="n"/>
      <c r="AB47" s="18" t="n"/>
      <c r="AC47" s="20" t="n"/>
      <c r="AD47" s="26">
        <f>IF($P47="","",MAX(0,$P47-N($X47)))</f>
        <v/>
      </c>
      <c r="AE47" s="23">
        <f>IF($A47="","",IF($M47="","Falta recurso",IF(IFERROR(VLOOKUP($M47,Recursos!$A$6:$H$105,7,FALSE),"No")&lt;&gt;"Sí","Recurso no activo",IF(OR($B47="",$H47="",$L47=""),"Faltan fecha u horarios",IF(OR($G47&gt;$H47,$H47&gt;$I47,$I47&gt;$J47,$J47&gt;$K47,$K47&gt;$L47),"Revisar secuencia horaria",IF(SUMPRODUCT(($B$6:$B$205=$B47)*($M$6:$M$205=$M47)*($H$6:$H$205&lt;$L47)*($L$6:$L$205&gt;$H47)*N($P$6:$P$205))&gt;N($R47),"Stock insuficiente",IF(AND($U47&lt;&gt;"",SUMPRODUCT(($B$6:$B$205=$B47)*($U$6:$U$205=$U47)*($A$6:$A$205&lt;&gt;$A47)*($H$6:$H$205&lt;$L47)*($L$6:$L$205&gt;$H47))&gt;0),"Vehículo solapado",IF(AND($Z47&lt;&gt;"",$J47&lt;&gt;"",$Z47&gt;$J47),"Entrega fuera de ventana",IF(AND($W47="Devuelto",N($Y47)&lt;N($X47)),"Devolución incompleta","")))))))))</f>
        <v/>
      </c>
      <c r="AF47" s="24">
        <f>IF($A47="","",IF(OR($B47="",$C47="",$D47="",$E47="",$H47="",$I47="",$J47="",$L47="",$M47="",$P47="",$U47="",$V47="",$W47=""),"Revisar",IF($AE47&lt;&gt;"","Revisar","Correcto")))</f>
        <v/>
      </c>
    </row>
    <row r="48">
      <c r="A48" s="18" t="n"/>
      <c r="B48" s="19" t="n"/>
      <c r="C48" s="20" t="n"/>
      <c r="D48" s="20" t="n"/>
      <c r="E48" s="18" t="n"/>
      <c r="F48" s="21" t="n"/>
      <c r="G48" s="32" t="n"/>
      <c r="H48" s="32" t="n"/>
      <c r="I48" s="32" t="n"/>
      <c r="J48" s="32" t="n"/>
      <c r="K48" s="32" t="n"/>
      <c r="L48" s="32" t="n"/>
      <c r="M48" s="18" t="n"/>
      <c r="N48" s="23">
        <f>IF($M48="","",IFERROR(VLOOKUP($M48,Recursos!$A$6:$H$105,3,FALSE),"Código no encontrado"))</f>
        <v/>
      </c>
      <c r="O48" s="24">
        <f>IF($M48="","",IFERROR(VLOOKUP($M48,Recursos!$A$6:$H$105,2,FALSE),""))</f>
        <v/>
      </c>
      <c r="P48" s="25" t="n"/>
      <c r="Q48" s="24">
        <f>IF($M48="","",IFERROR(VLOOKUP($M48,Recursos!$A$6:$H$105,5,FALSE),""))</f>
        <v/>
      </c>
      <c r="R48" s="26">
        <f>IF($M48="","",IFERROR(VLOOKUP($M48,Recursos!$A$6:$H$105,4,FALSE),""))</f>
        <v/>
      </c>
      <c r="S48" s="27">
        <f>IF($M48="","",IFERROR(VLOOKUP($M48,Recursos!$A$6:$H$105,6,FALSE),""))</f>
        <v/>
      </c>
      <c r="T48" s="27">
        <f>IF(OR($P48="",$S48=""),"",ROUND($P48*$S48,2))</f>
        <v/>
      </c>
      <c r="U48" s="18" t="n"/>
      <c r="V48" s="18" t="n"/>
      <c r="W48" s="18" t="n"/>
      <c r="X48" s="25" t="n"/>
      <c r="Y48" s="25" t="n"/>
      <c r="Z48" s="32" t="n"/>
      <c r="AA48" s="32" t="n"/>
      <c r="AB48" s="18" t="n"/>
      <c r="AC48" s="20" t="n"/>
      <c r="AD48" s="26">
        <f>IF($P48="","",MAX(0,$P48-N($X48)))</f>
        <v/>
      </c>
      <c r="AE48" s="23">
        <f>IF($A48="","",IF($M48="","Falta recurso",IF(IFERROR(VLOOKUP($M48,Recursos!$A$6:$H$105,7,FALSE),"No")&lt;&gt;"Sí","Recurso no activo",IF(OR($B48="",$H48="",$L48=""),"Faltan fecha u horarios",IF(OR($G48&gt;$H48,$H48&gt;$I48,$I48&gt;$J48,$J48&gt;$K48,$K48&gt;$L48),"Revisar secuencia horaria",IF(SUMPRODUCT(($B$6:$B$205=$B48)*($M$6:$M$205=$M48)*($H$6:$H$205&lt;$L48)*($L$6:$L$205&gt;$H48)*N($P$6:$P$205))&gt;N($R48),"Stock insuficiente",IF(AND($U48&lt;&gt;"",SUMPRODUCT(($B$6:$B$205=$B48)*($U$6:$U$205=$U48)*($A$6:$A$205&lt;&gt;$A48)*($H$6:$H$205&lt;$L48)*($L$6:$L$205&gt;$H48))&gt;0),"Vehículo solapado",IF(AND($Z48&lt;&gt;"",$J48&lt;&gt;"",$Z48&gt;$J48),"Entrega fuera de ventana",IF(AND($W48="Devuelto",N($Y48)&lt;N($X48)),"Devolución incompleta","")))))))))</f>
        <v/>
      </c>
      <c r="AF48" s="24">
        <f>IF($A48="","",IF(OR($B48="",$C48="",$D48="",$E48="",$H48="",$I48="",$J48="",$L48="",$M48="",$P48="",$U48="",$V48="",$W48=""),"Revisar",IF($AE48&lt;&gt;"","Revisar","Correcto")))</f>
        <v/>
      </c>
    </row>
    <row r="49">
      <c r="A49" s="18" t="n"/>
      <c r="B49" s="19" t="n"/>
      <c r="C49" s="20" t="n"/>
      <c r="D49" s="20" t="n"/>
      <c r="E49" s="18" t="n"/>
      <c r="F49" s="21" t="n"/>
      <c r="G49" s="32" t="n"/>
      <c r="H49" s="32" t="n"/>
      <c r="I49" s="32" t="n"/>
      <c r="J49" s="32" t="n"/>
      <c r="K49" s="32" t="n"/>
      <c r="L49" s="32" t="n"/>
      <c r="M49" s="18" t="n"/>
      <c r="N49" s="23">
        <f>IF($M49="","",IFERROR(VLOOKUP($M49,Recursos!$A$6:$H$105,3,FALSE),"Código no encontrado"))</f>
        <v/>
      </c>
      <c r="O49" s="24">
        <f>IF($M49="","",IFERROR(VLOOKUP($M49,Recursos!$A$6:$H$105,2,FALSE),""))</f>
        <v/>
      </c>
      <c r="P49" s="25" t="n"/>
      <c r="Q49" s="24">
        <f>IF($M49="","",IFERROR(VLOOKUP($M49,Recursos!$A$6:$H$105,5,FALSE),""))</f>
        <v/>
      </c>
      <c r="R49" s="26">
        <f>IF($M49="","",IFERROR(VLOOKUP($M49,Recursos!$A$6:$H$105,4,FALSE),""))</f>
        <v/>
      </c>
      <c r="S49" s="27">
        <f>IF($M49="","",IFERROR(VLOOKUP($M49,Recursos!$A$6:$H$105,6,FALSE),""))</f>
        <v/>
      </c>
      <c r="T49" s="27">
        <f>IF(OR($P49="",$S49=""),"",ROUND($P49*$S49,2))</f>
        <v/>
      </c>
      <c r="U49" s="18" t="n"/>
      <c r="V49" s="18" t="n"/>
      <c r="W49" s="18" t="n"/>
      <c r="X49" s="25" t="n"/>
      <c r="Y49" s="25" t="n"/>
      <c r="Z49" s="32" t="n"/>
      <c r="AA49" s="32" t="n"/>
      <c r="AB49" s="18" t="n"/>
      <c r="AC49" s="20" t="n"/>
      <c r="AD49" s="26">
        <f>IF($P49="","",MAX(0,$P49-N($X49)))</f>
        <v/>
      </c>
      <c r="AE49" s="23">
        <f>IF($A49="","",IF($M49="","Falta recurso",IF(IFERROR(VLOOKUP($M49,Recursos!$A$6:$H$105,7,FALSE),"No")&lt;&gt;"Sí","Recurso no activo",IF(OR($B49="",$H49="",$L49=""),"Faltan fecha u horarios",IF(OR($G49&gt;$H49,$H49&gt;$I49,$I49&gt;$J49,$J49&gt;$K49,$K49&gt;$L49),"Revisar secuencia horaria",IF(SUMPRODUCT(($B$6:$B$205=$B49)*($M$6:$M$205=$M49)*($H$6:$H$205&lt;$L49)*($L$6:$L$205&gt;$H49)*N($P$6:$P$205))&gt;N($R49),"Stock insuficiente",IF(AND($U49&lt;&gt;"",SUMPRODUCT(($B$6:$B$205=$B49)*($U$6:$U$205=$U49)*($A$6:$A$205&lt;&gt;$A49)*($H$6:$H$205&lt;$L49)*($L$6:$L$205&gt;$H49))&gt;0),"Vehículo solapado",IF(AND($Z49&lt;&gt;"",$J49&lt;&gt;"",$Z49&gt;$J49),"Entrega fuera de ventana",IF(AND($W49="Devuelto",N($Y49)&lt;N($X49)),"Devolución incompleta","")))))))))</f>
        <v/>
      </c>
      <c r="AF49" s="24">
        <f>IF($A49="","",IF(OR($B49="",$C49="",$D49="",$E49="",$H49="",$I49="",$J49="",$L49="",$M49="",$P49="",$U49="",$V49="",$W49=""),"Revisar",IF($AE49&lt;&gt;"","Revisar","Correcto")))</f>
        <v/>
      </c>
    </row>
    <row r="50">
      <c r="A50" s="18" t="n"/>
      <c r="B50" s="19" t="n"/>
      <c r="C50" s="20" t="n"/>
      <c r="D50" s="20" t="n"/>
      <c r="E50" s="18" t="n"/>
      <c r="F50" s="21" t="n"/>
      <c r="G50" s="32" t="n"/>
      <c r="H50" s="32" t="n"/>
      <c r="I50" s="32" t="n"/>
      <c r="J50" s="32" t="n"/>
      <c r="K50" s="32" t="n"/>
      <c r="L50" s="32" t="n"/>
      <c r="M50" s="18" t="n"/>
      <c r="N50" s="23">
        <f>IF($M50="","",IFERROR(VLOOKUP($M50,Recursos!$A$6:$H$105,3,FALSE),"Código no encontrado"))</f>
        <v/>
      </c>
      <c r="O50" s="24">
        <f>IF($M50="","",IFERROR(VLOOKUP($M50,Recursos!$A$6:$H$105,2,FALSE),""))</f>
        <v/>
      </c>
      <c r="P50" s="25" t="n"/>
      <c r="Q50" s="24">
        <f>IF($M50="","",IFERROR(VLOOKUP($M50,Recursos!$A$6:$H$105,5,FALSE),""))</f>
        <v/>
      </c>
      <c r="R50" s="26">
        <f>IF($M50="","",IFERROR(VLOOKUP($M50,Recursos!$A$6:$H$105,4,FALSE),""))</f>
        <v/>
      </c>
      <c r="S50" s="27">
        <f>IF($M50="","",IFERROR(VLOOKUP($M50,Recursos!$A$6:$H$105,6,FALSE),""))</f>
        <v/>
      </c>
      <c r="T50" s="27">
        <f>IF(OR($P50="",$S50=""),"",ROUND($P50*$S50,2))</f>
        <v/>
      </c>
      <c r="U50" s="18" t="n"/>
      <c r="V50" s="18" t="n"/>
      <c r="W50" s="18" t="n"/>
      <c r="X50" s="25" t="n"/>
      <c r="Y50" s="25" t="n"/>
      <c r="Z50" s="32" t="n"/>
      <c r="AA50" s="32" t="n"/>
      <c r="AB50" s="18" t="n"/>
      <c r="AC50" s="20" t="n"/>
      <c r="AD50" s="26">
        <f>IF($P50="","",MAX(0,$P50-N($X50)))</f>
        <v/>
      </c>
      <c r="AE50" s="23">
        <f>IF($A50="","",IF($M50="","Falta recurso",IF(IFERROR(VLOOKUP($M50,Recursos!$A$6:$H$105,7,FALSE),"No")&lt;&gt;"Sí","Recurso no activo",IF(OR($B50="",$H50="",$L50=""),"Faltan fecha u horarios",IF(OR($G50&gt;$H50,$H50&gt;$I50,$I50&gt;$J50,$J50&gt;$K50,$K50&gt;$L50),"Revisar secuencia horaria",IF(SUMPRODUCT(($B$6:$B$205=$B50)*($M$6:$M$205=$M50)*($H$6:$H$205&lt;$L50)*($L$6:$L$205&gt;$H50)*N($P$6:$P$205))&gt;N($R50),"Stock insuficiente",IF(AND($U50&lt;&gt;"",SUMPRODUCT(($B$6:$B$205=$B50)*($U$6:$U$205=$U50)*($A$6:$A$205&lt;&gt;$A50)*($H$6:$H$205&lt;$L50)*($L$6:$L$205&gt;$H50))&gt;0),"Vehículo solapado",IF(AND($Z50&lt;&gt;"",$J50&lt;&gt;"",$Z50&gt;$J50),"Entrega fuera de ventana",IF(AND($W50="Devuelto",N($Y50)&lt;N($X50)),"Devolución incompleta","")))))))))</f>
        <v/>
      </c>
      <c r="AF50" s="24">
        <f>IF($A50="","",IF(OR($B50="",$C50="",$D50="",$E50="",$H50="",$I50="",$J50="",$L50="",$M50="",$P50="",$U50="",$V50="",$W50=""),"Revisar",IF($AE50&lt;&gt;"","Revisar","Correcto")))</f>
        <v/>
      </c>
    </row>
    <row r="51">
      <c r="A51" s="18" t="n"/>
      <c r="B51" s="19" t="n"/>
      <c r="C51" s="20" t="n"/>
      <c r="D51" s="20" t="n"/>
      <c r="E51" s="18" t="n"/>
      <c r="F51" s="21" t="n"/>
      <c r="G51" s="32" t="n"/>
      <c r="H51" s="32" t="n"/>
      <c r="I51" s="32" t="n"/>
      <c r="J51" s="32" t="n"/>
      <c r="K51" s="32" t="n"/>
      <c r="L51" s="32" t="n"/>
      <c r="M51" s="18" t="n"/>
      <c r="N51" s="23">
        <f>IF($M51="","",IFERROR(VLOOKUP($M51,Recursos!$A$6:$H$105,3,FALSE),"Código no encontrado"))</f>
        <v/>
      </c>
      <c r="O51" s="24">
        <f>IF($M51="","",IFERROR(VLOOKUP($M51,Recursos!$A$6:$H$105,2,FALSE),""))</f>
        <v/>
      </c>
      <c r="P51" s="25" t="n"/>
      <c r="Q51" s="24">
        <f>IF($M51="","",IFERROR(VLOOKUP($M51,Recursos!$A$6:$H$105,5,FALSE),""))</f>
        <v/>
      </c>
      <c r="R51" s="26">
        <f>IF($M51="","",IFERROR(VLOOKUP($M51,Recursos!$A$6:$H$105,4,FALSE),""))</f>
        <v/>
      </c>
      <c r="S51" s="27">
        <f>IF($M51="","",IFERROR(VLOOKUP($M51,Recursos!$A$6:$H$105,6,FALSE),""))</f>
        <v/>
      </c>
      <c r="T51" s="27">
        <f>IF(OR($P51="",$S51=""),"",ROUND($P51*$S51,2))</f>
        <v/>
      </c>
      <c r="U51" s="18" t="n"/>
      <c r="V51" s="18" t="n"/>
      <c r="W51" s="18" t="n"/>
      <c r="X51" s="25" t="n"/>
      <c r="Y51" s="25" t="n"/>
      <c r="Z51" s="32" t="n"/>
      <c r="AA51" s="32" t="n"/>
      <c r="AB51" s="18" t="n"/>
      <c r="AC51" s="20" t="n"/>
      <c r="AD51" s="26">
        <f>IF($P51="","",MAX(0,$P51-N($X51)))</f>
        <v/>
      </c>
      <c r="AE51" s="23">
        <f>IF($A51="","",IF($M51="","Falta recurso",IF(IFERROR(VLOOKUP($M51,Recursos!$A$6:$H$105,7,FALSE),"No")&lt;&gt;"Sí","Recurso no activo",IF(OR($B51="",$H51="",$L51=""),"Faltan fecha u horarios",IF(OR($G51&gt;$H51,$H51&gt;$I51,$I51&gt;$J51,$J51&gt;$K51,$K51&gt;$L51),"Revisar secuencia horaria",IF(SUMPRODUCT(($B$6:$B$205=$B51)*($M$6:$M$205=$M51)*($H$6:$H$205&lt;$L51)*($L$6:$L$205&gt;$H51)*N($P$6:$P$205))&gt;N($R51),"Stock insuficiente",IF(AND($U51&lt;&gt;"",SUMPRODUCT(($B$6:$B$205=$B51)*($U$6:$U$205=$U51)*($A$6:$A$205&lt;&gt;$A51)*($H$6:$H$205&lt;$L51)*($L$6:$L$205&gt;$H51))&gt;0),"Vehículo solapado",IF(AND($Z51&lt;&gt;"",$J51&lt;&gt;"",$Z51&gt;$J51),"Entrega fuera de ventana",IF(AND($W51="Devuelto",N($Y51)&lt;N($X51)),"Devolución incompleta","")))))))))</f>
        <v/>
      </c>
      <c r="AF51" s="24">
        <f>IF($A51="","",IF(OR($B51="",$C51="",$D51="",$E51="",$H51="",$I51="",$J51="",$L51="",$M51="",$P51="",$U51="",$V51="",$W51=""),"Revisar",IF($AE51&lt;&gt;"","Revisar","Correcto")))</f>
        <v/>
      </c>
    </row>
    <row r="52">
      <c r="A52" s="18" t="n"/>
      <c r="B52" s="19" t="n"/>
      <c r="C52" s="20" t="n"/>
      <c r="D52" s="20" t="n"/>
      <c r="E52" s="18" t="n"/>
      <c r="F52" s="21" t="n"/>
      <c r="G52" s="32" t="n"/>
      <c r="H52" s="32" t="n"/>
      <c r="I52" s="32" t="n"/>
      <c r="J52" s="32" t="n"/>
      <c r="K52" s="32" t="n"/>
      <c r="L52" s="32" t="n"/>
      <c r="M52" s="18" t="n"/>
      <c r="N52" s="23">
        <f>IF($M52="","",IFERROR(VLOOKUP($M52,Recursos!$A$6:$H$105,3,FALSE),"Código no encontrado"))</f>
        <v/>
      </c>
      <c r="O52" s="24">
        <f>IF($M52="","",IFERROR(VLOOKUP($M52,Recursos!$A$6:$H$105,2,FALSE),""))</f>
        <v/>
      </c>
      <c r="P52" s="25" t="n"/>
      <c r="Q52" s="24">
        <f>IF($M52="","",IFERROR(VLOOKUP($M52,Recursos!$A$6:$H$105,5,FALSE),""))</f>
        <v/>
      </c>
      <c r="R52" s="26">
        <f>IF($M52="","",IFERROR(VLOOKUP($M52,Recursos!$A$6:$H$105,4,FALSE),""))</f>
        <v/>
      </c>
      <c r="S52" s="27">
        <f>IF($M52="","",IFERROR(VLOOKUP($M52,Recursos!$A$6:$H$105,6,FALSE),""))</f>
        <v/>
      </c>
      <c r="T52" s="27">
        <f>IF(OR($P52="",$S52=""),"",ROUND($P52*$S52,2))</f>
        <v/>
      </c>
      <c r="U52" s="18" t="n"/>
      <c r="V52" s="18" t="n"/>
      <c r="W52" s="18" t="n"/>
      <c r="X52" s="25" t="n"/>
      <c r="Y52" s="25" t="n"/>
      <c r="Z52" s="32" t="n"/>
      <c r="AA52" s="32" t="n"/>
      <c r="AB52" s="18" t="n"/>
      <c r="AC52" s="20" t="n"/>
      <c r="AD52" s="26">
        <f>IF($P52="","",MAX(0,$P52-N($X52)))</f>
        <v/>
      </c>
      <c r="AE52" s="23">
        <f>IF($A52="","",IF($M52="","Falta recurso",IF(IFERROR(VLOOKUP($M52,Recursos!$A$6:$H$105,7,FALSE),"No")&lt;&gt;"Sí","Recurso no activo",IF(OR($B52="",$H52="",$L52=""),"Faltan fecha u horarios",IF(OR($G52&gt;$H52,$H52&gt;$I52,$I52&gt;$J52,$J52&gt;$K52,$K52&gt;$L52),"Revisar secuencia horaria",IF(SUMPRODUCT(($B$6:$B$205=$B52)*($M$6:$M$205=$M52)*($H$6:$H$205&lt;$L52)*($L$6:$L$205&gt;$H52)*N($P$6:$P$205))&gt;N($R52),"Stock insuficiente",IF(AND($U52&lt;&gt;"",SUMPRODUCT(($B$6:$B$205=$B52)*($U$6:$U$205=$U52)*($A$6:$A$205&lt;&gt;$A52)*($H$6:$H$205&lt;$L52)*($L$6:$L$205&gt;$H52))&gt;0),"Vehículo solapado",IF(AND($Z52&lt;&gt;"",$J52&lt;&gt;"",$Z52&gt;$J52),"Entrega fuera de ventana",IF(AND($W52="Devuelto",N($Y52)&lt;N($X52)),"Devolución incompleta","")))))))))</f>
        <v/>
      </c>
      <c r="AF52" s="24">
        <f>IF($A52="","",IF(OR($B52="",$C52="",$D52="",$E52="",$H52="",$I52="",$J52="",$L52="",$M52="",$P52="",$U52="",$V52="",$W52=""),"Revisar",IF($AE52&lt;&gt;"","Revisar","Correcto")))</f>
        <v/>
      </c>
    </row>
    <row r="53">
      <c r="A53" s="18" t="n"/>
      <c r="B53" s="19" t="n"/>
      <c r="C53" s="20" t="n"/>
      <c r="D53" s="20" t="n"/>
      <c r="E53" s="18" t="n"/>
      <c r="F53" s="21" t="n"/>
      <c r="G53" s="32" t="n"/>
      <c r="H53" s="32" t="n"/>
      <c r="I53" s="32" t="n"/>
      <c r="J53" s="32" t="n"/>
      <c r="K53" s="32" t="n"/>
      <c r="L53" s="32" t="n"/>
      <c r="M53" s="18" t="n"/>
      <c r="N53" s="23">
        <f>IF($M53="","",IFERROR(VLOOKUP($M53,Recursos!$A$6:$H$105,3,FALSE),"Código no encontrado"))</f>
        <v/>
      </c>
      <c r="O53" s="24">
        <f>IF($M53="","",IFERROR(VLOOKUP($M53,Recursos!$A$6:$H$105,2,FALSE),""))</f>
        <v/>
      </c>
      <c r="P53" s="25" t="n"/>
      <c r="Q53" s="24">
        <f>IF($M53="","",IFERROR(VLOOKUP($M53,Recursos!$A$6:$H$105,5,FALSE),""))</f>
        <v/>
      </c>
      <c r="R53" s="26">
        <f>IF($M53="","",IFERROR(VLOOKUP($M53,Recursos!$A$6:$H$105,4,FALSE),""))</f>
        <v/>
      </c>
      <c r="S53" s="27">
        <f>IF($M53="","",IFERROR(VLOOKUP($M53,Recursos!$A$6:$H$105,6,FALSE),""))</f>
        <v/>
      </c>
      <c r="T53" s="27">
        <f>IF(OR($P53="",$S53=""),"",ROUND($P53*$S53,2))</f>
        <v/>
      </c>
      <c r="U53" s="18" t="n"/>
      <c r="V53" s="18" t="n"/>
      <c r="W53" s="18" t="n"/>
      <c r="X53" s="25" t="n"/>
      <c r="Y53" s="25" t="n"/>
      <c r="Z53" s="32" t="n"/>
      <c r="AA53" s="32" t="n"/>
      <c r="AB53" s="18" t="n"/>
      <c r="AC53" s="20" t="n"/>
      <c r="AD53" s="26">
        <f>IF($P53="","",MAX(0,$P53-N($X53)))</f>
        <v/>
      </c>
      <c r="AE53" s="23">
        <f>IF($A53="","",IF($M53="","Falta recurso",IF(IFERROR(VLOOKUP($M53,Recursos!$A$6:$H$105,7,FALSE),"No")&lt;&gt;"Sí","Recurso no activo",IF(OR($B53="",$H53="",$L53=""),"Faltan fecha u horarios",IF(OR($G53&gt;$H53,$H53&gt;$I53,$I53&gt;$J53,$J53&gt;$K53,$K53&gt;$L53),"Revisar secuencia horaria",IF(SUMPRODUCT(($B$6:$B$205=$B53)*($M$6:$M$205=$M53)*($H$6:$H$205&lt;$L53)*($L$6:$L$205&gt;$H53)*N($P$6:$P$205))&gt;N($R53),"Stock insuficiente",IF(AND($U53&lt;&gt;"",SUMPRODUCT(($B$6:$B$205=$B53)*($U$6:$U$205=$U53)*($A$6:$A$205&lt;&gt;$A53)*($H$6:$H$205&lt;$L53)*($L$6:$L$205&gt;$H53))&gt;0),"Vehículo solapado",IF(AND($Z53&lt;&gt;"",$J53&lt;&gt;"",$Z53&gt;$J53),"Entrega fuera de ventana",IF(AND($W53="Devuelto",N($Y53)&lt;N($X53)),"Devolución incompleta","")))))))))</f>
        <v/>
      </c>
      <c r="AF53" s="24">
        <f>IF($A53="","",IF(OR($B53="",$C53="",$D53="",$E53="",$H53="",$I53="",$J53="",$L53="",$M53="",$P53="",$U53="",$V53="",$W53=""),"Revisar",IF($AE53&lt;&gt;"","Revisar","Correcto")))</f>
        <v/>
      </c>
    </row>
    <row r="54">
      <c r="A54" s="18" t="n"/>
      <c r="B54" s="19" t="n"/>
      <c r="C54" s="20" t="n"/>
      <c r="D54" s="20" t="n"/>
      <c r="E54" s="18" t="n"/>
      <c r="F54" s="21" t="n"/>
      <c r="G54" s="32" t="n"/>
      <c r="H54" s="32" t="n"/>
      <c r="I54" s="32" t="n"/>
      <c r="J54" s="32" t="n"/>
      <c r="K54" s="32" t="n"/>
      <c r="L54" s="32" t="n"/>
      <c r="M54" s="18" t="n"/>
      <c r="N54" s="23">
        <f>IF($M54="","",IFERROR(VLOOKUP($M54,Recursos!$A$6:$H$105,3,FALSE),"Código no encontrado"))</f>
        <v/>
      </c>
      <c r="O54" s="24">
        <f>IF($M54="","",IFERROR(VLOOKUP($M54,Recursos!$A$6:$H$105,2,FALSE),""))</f>
        <v/>
      </c>
      <c r="P54" s="25" t="n"/>
      <c r="Q54" s="24">
        <f>IF($M54="","",IFERROR(VLOOKUP($M54,Recursos!$A$6:$H$105,5,FALSE),""))</f>
        <v/>
      </c>
      <c r="R54" s="26">
        <f>IF($M54="","",IFERROR(VLOOKUP($M54,Recursos!$A$6:$H$105,4,FALSE),""))</f>
        <v/>
      </c>
      <c r="S54" s="27">
        <f>IF($M54="","",IFERROR(VLOOKUP($M54,Recursos!$A$6:$H$105,6,FALSE),""))</f>
        <v/>
      </c>
      <c r="T54" s="27">
        <f>IF(OR($P54="",$S54=""),"",ROUND($P54*$S54,2))</f>
        <v/>
      </c>
      <c r="U54" s="18" t="n"/>
      <c r="V54" s="18" t="n"/>
      <c r="W54" s="18" t="n"/>
      <c r="X54" s="25" t="n"/>
      <c r="Y54" s="25" t="n"/>
      <c r="Z54" s="32" t="n"/>
      <c r="AA54" s="32" t="n"/>
      <c r="AB54" s="18" t="n"/>
      <c r="AC54" s="20" t="n"/>
      <c r="AD54" s="26">
        <f>IF($P54="","",MAX(0,$P54-N($X54)))</f>
        <v/>
      </c>
      <c r="AE54" s="23">
        <f>IF($A54="","",IF($M54="","Falta recurso",IF(IFERROR(VLOOKUP($M54,Recursos!$A$6:$H$105,7,FALSE),"No")&lt;&gt;"Sí","Recurso no activo",IF(OR($B54="",$H54="",$L54=""),"Faltan fecha u horarios",IF(OR($G54&gt;$H54,$H54&gt;$I54,$I54&gt;$J54,$J54&gt;$K54,$K54&gt;$L54),"Revisar secuencia horaria",IF(SUMPRODUCT(($B$6:$B$205=$B54)*($M$6:$M$205=$M54)*($H$6:$H$205&lt;$L54)*($L$6:$L$205&gt;$H54)*N($P$6:$P$205))&gt;N($R54),"Stock insuficiente",IF(AND($U54&lt;&gt;"",SUMPRODUCT(($B$6:$B$205=$B54)*($U$6:$U$205=$U54)*($A$6:$A$205&lt;&gt;$A54)*($H$6:$H$205&lt;$L54)*($L$6:$L$205&gt;$H54))&gt;0),"Vehículo solapado",IF(AND($Z54&lt;&gt;"",$J54&lt;&gt;"",$Z54&gt;$J54),"Entrega fuera de ventana",IF(AND($W54="Devuelto",N($Y54)&lt;N($X54)),"Devolución incompleta","")))))))))</f>
        <v/>
      </c>
      <c r="AF54" s="24">
        <f>IF($A54="","",IF(OR($B54="",$C54="",$D54="",$E54="",$H54="",$I54="",$J54="",$L54="",$M54="",$P54="",$U54="",$V54="",$W54=""),"Revisar",IF($AE54&lt;&gt;"","Revisar","Correcto")))</f>
        <v/>
      </c>
    </row>
    <row r="55">
      <c r="A55" s="18" t="n"/>
      <c r="B55" s="19" t="n"/>
      <c r="C55" s="20" t="n"/>
      <c r="D55" s="20" t="n"/>
      <c r="E55" s="18" t="n"/>
      <c r="F55" s="21" t="n"/>
      <c r="G55" s="32" t="n"/>
      <c r="H55" s="32" t="n"/>
      <c r="I55" s="32" t="n"/>
      <c r="J55" s="32" t="n"/>
      <c r="K55" s="32" t="n"/>
      <c r="L55" s="32" t="n"/>
      <c r="M55" s="18" t="n"/>
      <c r="N55" s="23">
        <f>IF($M55="","",IFERROR(VLOOKUP($M55,Recursos!$A$6:$H$105,3,FALSE),"Código no encontrado"))</f>
        <v/>
      </c>
      <c r="O55" s="24">
        <f>IF($M55="","",IFERROR(VLOOKUP($M55,Recursos!$A$6:$H$105,2,FALSE),""))</f>
        <v/>
      </c>
      <c r="P55" s="25" t="n"/>
      <c r="Q55" s="24">
        <f>IF($M55="","",IFERROR(VLOOKUP($M55,Recursos!$A$6:$H$105,5,FALSE),""))</f>
        <v/>
      </c>
      <c r="R55" s="26">
        <f>IF($M55="","",IFERROR(VLOOKUP($M55,Recursos!$A$6:$H$105,4,FALSE),""))</f>
        <v/>
      </c>
      <c r="S55" s="27">
        <f>IF($M55="","",IFERROR(VLOOKUP($M55,Recursos!$A$6:$H$105,6,FALSE),""))</f>
        <v/>
      </c>
      <c r="T55" s="27">
        <f>IF(OR($P55="",$S55=""),"",ROUND($P55*$S55,2))</f>
        <v/>
      </c>
      <c r="U55" s="18" t="n"/>
      <c r="V55" s="18" t="n"/>
      <c r="W55" s="18" t="n"/>
      <c r="X55" s="25" t="n"/>
      <c r="Y55" s="25" t="n"/>
      <c r="Z55" s="32" t="n"/>
      <c r="AA55" s="32" t="n"/>
      <c r="AB55" s="18" t="n"/>
      <c r="AC55" s="20" t="n"/>
      <c r="AD55" s="26">
        <f>IF($P55="","",MAX(0,$P55-N($X55)))</f>
        <v/>
      </c>
      <c r="AE55" s="23">
        <f>IF($A55="","",IF($M55="","Falta recurso",IF(IFERROR(VLOOKUP($M55,Recursos!$A$6:$H$105,7,FALSE),"No")&lt;&gt;"Sí","Recurso no activo",IF(OR($B55="",$H55="",$L55=""),"Faltan fecha u horarios",IF(OR($G55&gt;$H55,$H55&gt;$I55,$I55&gt;$J55,$J55&gt;$K55,$K55&gt;$L55),"Revisar secuencia horaria",IF(SUMPRODUCT(($B$6:$B$205=$B55)*($M$6:$M$205=$M55)*($H$6:$H$205&lt;$L55)*($L$6:$L$205&gt;$H55)*N($P$6:$P$205))&gt;N($R55),"Stock insuficiente",IF(AND($U55&lt;&gt;"",SUMPRODUCT(($B$6:$B$205=$B55)*($U$6:$U$205=$U55)*($A$6:$A$205&lt;&gt;$A55)*($H$6:$H$205&lt;$L55)*($L$6:$L$205&gt;$H55))&gt;0),"Vehículo solapado",IF(AND($Z55&lt;&gt;"",$J55&lt;&gt;"",$Z55&gt;$J55),"Entrega fuera de ventana",IF(AND($W55="Devuelto",N($Y55)&lt;N($X55)),"Devolución incompleta","")))))))))</f>
        <v/>
      </c>
      <c r="AF55" s="24">
        <f>IF($A55="","",IF(OR($B55="",$C55="",$D55="",$E55="",$H55="",$I55="",$J55="",$L55="",$M55="",$P55="",$U55="",$V55="",$W55=""),"Revisar",IF($AE55&lt;&gt;"","Revisar","Correcto")))</f>
        <v/>
      </c>
    </row>
    <row r="56">
      <c r="A56" s="18" t="n"/>
      <c r="B56" s="19" t="n"/>
      <c r="C56" s="20" t="n"/>
      <c r="D56" s="20" t="n"/>
      <c r="E56" s="18" t="n"/>
      <c r="F56" s="21" t="n"/>
      <c r="G56" s="32" t="n"/>
      <c r="H56" s="32" t="n"/>
      <c r="I56" s="32" t="n"/>
      <c r="J56" s="32" t="n"/>
      <c r="K56" s="32" t="n"/>
      <c r="L56" s="32" t="n"/>
      <c r="M56" s="18" t="n"/>
      <c r="N56" s="23">
        <f>IF($M56="","",IFERROR(VLOOKUP($M56,Recursos!$A$6:$H$105,3,FALSE),"Código no encontrado"))</f>
        <v/>
      </c>
      <c r="O56" s="24">
        <f>IF($M56="","",IFERROR(VLOOKUP($M56,Recursos!$A$6:$H$105,2,FALSE),""))</f>
        <v/>
      </c>
      <c r="P56" s="25" t="n"/>
      <c r="Q56" s="24">
        <f>IF($M56="","",IFERROR(VLOOKUP($M56,Recursos!$A$6:$H$105,5,FALSE),""))</f>
        <v/>
      </c>
      <c r="R56" s="26">
        <f>IF($M56="","",IFERROR(VLOOKUP($M56,Recursos!$A$6:$H$105,4,FALSE),""))</f>
        <v/>
      </c>
      <c r="S56" s="27">
        <f>IF($M56="","",IFERROR(VLOOKUP($M56,Recursos!$A$6:$H$105,6,FALSE),""))</f>
        <v/>
      </c>
      <c r="T56" s="27">
        <f>IF(OR($P56="",$S56=""),"",ROUND($P56*$S56,2))</f>
        <v/>
      </c>
      <c r="U56" s="18" t="n"/>
      <c r="V56" s="18" t="n"/>
      <c r="W56" s="18" t="n"/>
      <c r="X56" s="25" t="n"/>
      <c r="Y56" s="25" t="n"/>
      <c r="Z56" s="32" t="n"/>
      <c r="AA56" s="32" t="n"/>
      <c r="AB56" s="18" t="n"/>
      <c r="AC56" s="20" t="n"/>
      <c r="AD56" s="26">
        <f>IF($P56="","",MAX(0,$P56-N($X56)))</f>
        <v/>
      </c>
      <c r="AE56" s="23">
        <f>IF($A56="","",IF($M56="","Falta recurso",IF(IFERROR(VLOOKUP($M56,Recursos!$A$6:$H$105,7,FALSE),"No")&lt;&gt;"Sí","Recurso no activo",IF(OR($B56="",$H56="",$L56=""),"Faltan fecha u horarios",IF(OR($G56&gt;$H56,$H56&gt;$I56,$I56&gt;$J56,$J56&gt;$K56,$K56&gt;$L56),"Revisar secuencia horaria",IF(SUMPRODUCT(($B$6:$B$205=$B56)*($M$6:$M$205=$M56)*($H$6:$H$205&lt;$L56)*($L$6:$L$205&gt;$H56)*N($P$6:$P$205))&gt;N($R56),"Stock insuficiente",IF(AND($U56&lt;&gt;"",SUMPRODUCT(($B$6:$B$205=$B56)*($U$6:$U$205=$U56)*($A$6:$A$205&lt;&gt;$A56)*($H$6:$H$205&lt;$L56)*($L$6:$L$205&gt;$H56))&gt;0),"Vehículo solapado",IF(AND($Z56&lt;&gt;"",$J56&lt;&gt;"",$Z56&gt;$J56),"Entrega fuera de ventana",IF(AND($W56="Devuelto",N($Y56)&lt;N($X56)),"Devolución incompleta","")))))))))</f>
        <v/>
      </c>
      <c r="AF56" s="24">
        <f>IF($A56="","",IF(OR($B56="",$C56="",$D56="",$E56="",$H56="",$I56="",$J56="",$L56="",$M56="",$P56="",$U56="",$V56="",$W56=""),"Revisar",IF($AE56&lt;&gt;"","Revisar","Correcto")))</f>
        <v/>
      </c>
    </row>
    <row r="57">
      <c r="A57" s="18" t="n"/>
      <c r="B57" s="19" t="n"/>
      <c r="C57" s="20" t="n"/>
      <c r="D57" s="20" t="n"/>
      <c r="E57" s="18" t="n"/>
      <c r="F57" s="21" t="n"/>
      <c r="G57" s="32" t="n"/>
      <c r="H57" s="32" t="n"/>
      <c r="I57" s="32" t="n"/>
      <c r="J57" s="32" t="n"/>
      <c r="K57" s="32" t="n"/>
      <c r="L57" s="32" t="n"/>
      <c r="M57" s="18" t="n"/>
      <c r="N57" s="23">
        <f>IF($M57="","",IFERROR(VLOOKUP($M57,Recursos!$A$6:$H$105,3,FALSE),"Código no encontrado"))</f>
        <v/>
      </c>
      <c r="O57" s="24">
        <f>IF($M57="","",IFERROR(VLOOKUP($M57,Recursos!$A$6:$H$105,2,FALSE),""))</f>
        <v/>
      </c>
      <c r="P57" s="25" t="n"/>
      <c r="Q57" s="24">
        <f>IF($M57="","",IFERROR(VLOOKUP($M57,Recursos!$A$6:$H$105,5,FALSE),""))</f>
        <v/>
      </c>
      <c r="R57" s="26">
        <f>IF($M57="","",IFERROR(VLOOKUP($M57,Recursos!$A$6:$H$105,4,FALSE),""))</f>
        <v/>
      </c>
      <c r="S57" s="27">
        <f>IF($M57="","",IFERROR(VLOOKUP($M57,Recursos!$A$6:$H$105,6,FALSE),""))</f>
        <v/>
      </c>
      <c r="T57" s="27">
        <f>IF(OR($P57="",$S57=""),"",ROUND($P57*$S57,2))</f>
        <v/>
      </c>
      <c r="U57" s="18" t="n"/>
      <c r="V57" s="18" t="n"/>
      <c r="W57" s="18" t="n"/>
      <c r="X57" s="25" t="n"/>
      <c r="Y57" s="25" t="n"/>
      <c r="Z57" s="32" t="n"/>
      <c r="AA57" s="32" t="n"/>
      <c r="AB57" s="18" t="n"/>
      <c r="AC57" s="20" t="n"/>
      <c r="AD57" s="26">
        <f>IF($P57="","",MAX(0,$P57-N($X57)))</f>
        <v/>
      </c>
      <c r="AE57" s="23">
        <f>IF($A57="","",IF($M57="","Falta recurso",IF(IFERROR(VLOOKUP($M57,Recursos!$A$6:$H$105,7,FALSE),"No")&lt;&gt;"Sí","Recurso no activo",IF(OR($B57="",$H57="",$L57=""),"Faltan fecha u horarios",IF(OR($G57&gt;$H57,$H57&gt;$I57,$I57&gt;$J57,$J57&gt;$K57,$K57&gt;$L57),"Revisar secuencia horaria",IF(SUMPRODUCT(($B$6:$B$205=$B57)*($M$6:$M$205=$M57)*($H$6:$H$205&lt;$L57)*($L$6:$L$205&gt;$H57)*N($P$6:$P$205))&gt;N($R57),"Stock insuficiente",IF(AND($U57&lt;&gt;"",SUMPRODUCT(($B$6:$B$205=$B57)*($U$6:$U$205=$U57)*($A$6:$A$205&lt;&gt;$A57)*($H$6:$H$205&lt;$L57)*($L$6:$L$205&gt;$H57))&gt;0),"Vehículo solapado",IF(AND($Z57&lt;&gt;"",$J57&lt;&gt;"",$Z57&gt;$J57),"Entrega fuera de ventana",IF(AND($W57="Devuelto",N($Y57)&lt;N($X57)),"Devolución incompleta","")))))))))</f>
        <v/>
      </c>
      <c r="AF57" s="24">
        <f>IF($A57="","",IF(OR($B57="",$C57="",$D57="",$E57="",$H57="",$I57="",$J57="",$L57="",$M57="",$P57="",$U57="",$V57="",$W57=""),"Revisar",IF($AE57&lt;&gt;"","Revisar","Correcto")))</f>
        <v/>
      </c>
    </row>
    <row r="58">
      <c r="A58" s="18" t="n"/>
      <c r="B58" s="19" t="n"/>
      <c r="C58" s="20" t="n"/>
      <c r="D58" s="20" t="n"/>
      <c r="E58" s="18" t="n"/>
      <c r="F58" s="21" t="n"/>
      <c r="G58" s="32" t="n"/>
      <c r="H58" s="32" t="n"/>
      <c r="I58" s="32" t="n"/>
      <c r="J58" s="32" t="n"/>
      <c r="K58" s="32" t="n"/>
      <c r="L58" s="32" t="n"/>
      <c r="M58" s="18" t="n"/>
      <c r="N58" s="23">
        <f>IF($M58="","",IFERROR(VLOOKUP($M58,Recursos!$A$6:$H$105,3,FALSE),"Código no encontrado"))</f>
        <v/>
      </c>
      <c r="O58" s="24">
        <f>IF($M58="","",IFERROR(VLOOKUP($M58,Recursos!$A$6:$H$105,2,FALSE),""))</f>
        <v/>
      </c>
      <c r="P58" s="25" t="n"/>
      <c r="Q58" s="24">
        <f>IF($M58="","",IFERROR(VLOOKUP($M58,Recursos!$A$6:$H$105,5,FALSE),""))</f>
        <v/>
      </c>
      <c r="R58" s="26">
        <f>IF($M58="","",IFERROR(VLOOKUP($M58,Recursos!$A$6:$H$105,4,FALSE),""))</f>
        <v/>
      </c>
      <c r="S58" s="27">
        <f>IF($M58="","",IFERROR(VLOOKUP($M58,Recursos!$A$6:$H$105,6,FALSE),""))</f>
        <v/>
      </c>
      <c r="T58" s="27">
        <f>IF(OR($P58="",$S58=""),"",ROUND($P58*$S58,2))</f>
        <v/>
      </c>
      <c r="U58" s="18" t="n"/>
      <c r="V58" s="18" t="n"/>
      <c r="W58" s="18" t="n"/>
      <c r="X58" s="25" t="n"/>
      <c r="Y58" s="25" t="n"/>
      <c r="Z58" s="32" t="n"/>
      <c r="AA58" s="32" t="n"/>
      <c r="AB58" s="18" t="n"/>
      <c r="AC58" s="20" t="n"/>
      <c r="AD58" s="26">
        <f>IF($P58="","",MAX(0,$P58-N($X58)))</f>
        <v/>
      </c>
      <c r="AE58" s="23">
        <f>IF($A58="","",IF($M58="","Falta recurso",IF(IFERROR(VLOOKUP($M58,Recursos!$A$6:$H$105,7,FALSE),"No")&lt;&gt;"Sí","Recurso no activo",IF(OR($B58="",$H58="",$L58=""),"Faltan fecha u horarios",IF(OR($G58&gt;$H58,$H58&gt;$I58,$I58&gt;$J58,$J58&gt;$K58,$K58&gt;$L58),"Revisar secuencia horaria",IF(SUMPRODUCT(($B$6:$B$205=$B58)*($M$6:$M$205=$M58)*($H$6:$H$205&lt;$L58)*($L$6:$L$205&gt;$H58)*N($P$6:$P$205))&gt;N($R58),"Stock insuficiente",IF(AND($U58&lt;&gt;"",SUMPRODUCT(($B$6:$B$205=$B58)*($U$6:$U$205=$U58)*($A$6:$A$205&lt;&gt;$A58)*($H$6:$H$205&lt;$L58)*($L$6:$L$205&gt;$H58))&gt;0),"Vehículo solapado",IF(AND($Z58&lt;&gt;"",$J58&lt;&gt;"",$Z58&gt;$J58),"Entrega fuera de ventana",IF(AND($W58="Devuelto",N($Y58)&lt;N($X58)),"Devolución incompleta","")))))))))</f>
        <v/>
      </c>
      <c r="AF58" s="24">
        <f>IF($A58="","",IF(OR($B58="",$C58="",$D58="",$E58="",$H58="",$I58="",$J58="",$L58="",$M58="",$P58="",$U58="",$V58="",$W58=""),"Revisar",IF($AE58&lt;&gt;"","Revisar","Correcto")))</f>
        <v/>
      </c>
    </row>
    <row r="59">
      <c r="A59" s="18" t="n"/>
      <c r="B59" s="19" t="n"/>
      <c r="C59" s="20" t="n"/>
      <c r="D59" s="20" t="n"/>
      <c r="E59" s="18" t="n"/>
      <c r="F59" s="21" t="n"/>
      <c r="G59" s="32" t="n"/>
      <c r="H59" s="32" t="n"/>
      <c r="I59" s="32" t="n"/>
      <c r="J59" s="32" t="n"/>
      <c r="K59" s="32" t="n"/>
      <c r="L59" s="32" t="n"/>
      <c r="M59" s="18" t="n"/>
      <c r="N59" s="23">
        <f>IF($M59="","",IFERROR(VLOOKUP($M59,Recursos!$A$6:$H$105,3,FALSE),"Código no encontrado"))</f>
        <v/>
      </c>
      <c r="O59" s="24">
        <f>IF($M59="","",IFERROR(VLOOKUP($M59,Recursos!$A$6:$H$105,2,FALSE),""))</f>
        <v/>
      </c>
      <c r="P59" s="25" t="n"/>
      <c r="Q59" s="24">
        <f>IF($M59="","",IFERROR(VLOOKUP($M59,Recursos!$A$6:$H$105,5,FALSE),""))</f>
        <v/>
      </c>
      <c r="R59" s="26">
        <f>IF($M59="","",IFERROR(VLOOKUP($M59,Recursos!$A$6:$H$105,4,FALSE),""))</f>
        <v/>
      </c>
      <c r="S59" s="27">
        <f>IF($M59="","",IFERROR(VLOOKUP($M59,Recursos!$A$6:$H$105,6,FALSE),""))</f>
        <v/>
      </c>
      <c r="T59" s="27">
        <f>IF(OR($P59="",$S59=""),"",ROUND($P59*$S59,2))</f>
        <v/>
      </c>
      <c r="U59" s="18" t="n"/>
      <c r="V59" s="18" t="n"/>
      <c r="W59" s="18" t="n"/>
      <c r="X59" s="25" t="n"/>
      <c r="Y59" s="25" t="n"/>
      <c r="Z59" s="32" t="n"/>
      <c r="AA59" s="32" t="n"/>
      <c r="AB59" s="18" t="n"/>
      <c r="AC59" s="20" t="n"/>
      <c r="AD59" s="26">
        <f>IF($P59="","",MAX(0,$P59-N($X59)))</f>
        <v/>
      </c>
      <c r="AE59" s="23">
        <f>IF($A59="","",IF($M59="","Falta recurso",IF(IFERROR(VLOOKUP($M59,Recursos!$A$6:$H$105,7,FALSE),"No")&lt;&gt;"Sí","Recurso no activo",IF(OR($B59="",$H59="",$L59=""),"Faltan fecha u horarios",IF(OR($G59&gt;$H59,$H59&gt;$I59,$I59&gt;$J59,$J59&gt;$K59,$K59&gt;$L59),"Revisar secuencia horaria",IF(SUMPRODUCT(($B$6:$B$205=$B59)*($M$6:$M$205=$M59)*($H$6:$H$205&lt;$L59)*($L$6:$L$205&gt;$H59)*N($P$6:$P$205))&gt;N($R59),"Stock insuficiente",IF(AND($U59&lt;&gt;"",SUMPRODUCT(($B$6:$B$205=$B59)*($U$6:$U$205=$U59)*($A$6:$A$205&lt;&gt;$A59)*($H$6:$H$205&lt;$L59)*($L$6:$L$205&gt;$H59))&gt;0),"Vehículo solapado",IF(AND($Z59&lt;&gt;"",$J59&lt;&gt;"",$Z59&gt;$J59),"Entrega fuera de ventana",IF(AND($W59="Devuelto",N($Y59)&lt;N($X59)),"Devolución incompleta","")))))))))</f>
        <v/>
      </c>
      <c r="AF59" s="24">
        <f>IF($A59="","",IF(OR($B59="",$C59="",$D59="",$E59="",$H59="",$I59="",$J59="",$L59="",$M59="",$P59="",$U59="",$V59="",$W59=""),"Revisar",IF($AE59&lt;&gt;"","Revisar","Correcto")))</f>
        <v/>
      </c>
    </row>
    <row r="60">
      <c r="A60" s="18" t="n"/>
      <c r="B60" s="19" t="n"/>
      <c r="C60" s="20" t="n"/>
      <c r="D60" s="20" t="n"/>
      <c r="E60" s="18" t="n"/>
      <c r="F60" s="21" t="n"/>
      <c r="G60" s="32" t="n"/>
      <c r="H60" s="32" t="n"/>
      <c r="I60" s="32" t="n"/>
      <c r="J60" s="32" t="n"/>
      <c r="K60" s="32" t="n"/>
      <c r="L60" s="32" t="n"/>
      <c r="M60" s="18" t="n"/>
      <c r="N60" s="23">
        <f>IF($M60="","",IFERROR(VLOOKUP($M60,Recursos!$A$6:$H$105,3,FALSE),"Código no encontrado"))</f>
        <v/>
      </c>
      <c r="O60" s="24">
        <f>IF($M60="","",IFERROR(VLOOKUP($M60,Recursos!$A$6:$H$105,2,FALSE),""))</f>
        <v/>
      </c>
      <c r="P60" s="25" t="n"/>
      <c r="Q60" s="24">
        <f>IF($M60="","",IFERROR(VLOOKUP($M60,Recursos!$A$6:$H$105,5,FALSE),""))</f>
        <v/>
      </c>
      <c r="R60" s="26">
        <f>IF($M60="","",IFERROR(VLOOKUP($M60,Recursos!$A$6:$H$105,4,FALSE),""))</f>
        <v/>
      </c>
      <c r="S60" s="27">
        <f>IF($M60="","",IFERROR(VLOOKUP($M60,Recursos!$A$6:$H$105,6,FALSE),""))</f>
        <v/>
      </c>
      <c r="T60" s="27">
        <f>IF(OR($P60="",$S60=""),"",ROUND($P60*$S60,2))</f>
        <v/>
      </c>
      <c r="U60" s="18" t="n"/>
      <c r="V60" s="18" t="n"/>
      <c r="W60" s="18" t="n"/>
      <c r="X60" s="25" t="n"/>
      <c r="Y60" s="25" t="n"/>
      <c r="Z60" s="32" t="n"/>
      <c r="AA60" s="32" t="n"/>
      <c r="AB60" s="18" t="n"/>
      <c r="AC60" s="20" t="n"/>
      <c r="AD60" s="26">
        <f>IF($P60="","",MAX(0,$P60-N($X60)))</f>
        <v/>
      </c>
      <c r="AE60" s="23">
        <f>IF($A60="","",IF($M60="","Falta recurso",IF(IFERROR(VLOOKUP($M60,Recursos!$A$6:$H$105,7,FALSE),"No")&lt;&gt;"Sí","Recurso no activo",IF(OR($B60="",$H60="",$L60=""),"Faltan fecha u horarios",IF(OR($G60&gt;$H60,$H60&gt;$I60,$I60&gt;$J60,$J60&gt;$K60,$K60&gt;$L60),"Revisar secuencia horaria",IF(SUMPRODUCT(($B$6:$B$205=$B60)*($M$6:$M$205=$M60)*($H$6:$H$205&lt;$L60)*($L$6:$L$205&gt;$H60)*N($P$6:$P$205))&gt;N($R60),"Stock insuficiente",IF(AND($U60&lt;&gt;"",SUMPRODUCT(($B$6:$B$205=$B60)*($U$6:$U$205=$U60)*($A$6:$A$205&lt;&gt;$A60)*($H$6:$H$205&lt;$L60)*($L$6:$L$205&gt;$H60))&gt;0),"Vehículo solapado",IF(AND($Z60&lt;&gt;"",$J60&lt;&gt;"",$Z60&gt;$J60),"Entrega fuera de ventana",IF(AND($W60="Devuelto",N($Y60)&lt;N($X60)),"Devolución incompleta","")))))))))</f>
        <v/>
      </c>
      <c r="AF60" s="24">
        <f>IF($A60="","",IF(OR($B60="",$C60="",$D60="",$E60="",$H60="",$I60="",$J60="",$L60="",$M60="",$P60="",$U60="",$V60="",$W60=""),"Revisar",IF($AE60&lt;&gt;"","Revisar","Correcto")))</f>
        <v/>
      </c>
    </row>
    <row r="61">
      <c r="A61" s="18" t="n"/>
      <c r="B61" s="19" t="n"/>
      <c r="C61" s="20" t="n"/>
      <c r="D61" s="20" t="n"/>
      <c r="E61" s="18" t="n"/>
      <c r="F61" s="21" t="n"/>
      <c r="G61" s="32" t="n"/>
      <c r="H61" s="32" t="n"/>
      <c r="I61" s="32" t="n"/>
      <c r="J61" s="32" t="n"/>
      <c r="K61" s="32" t="n"/>
      <c r="L61" s="32" t="n"/>
      <c r="M61" s="18" t="n"/>
      <c r="N61" s="23">
        <f>IF($M61="","",IFERROR(VLOOKUP($M61,Recursos!$A$6:$H$105,3,FALSE),"Código no encontrado"))</f>
        <v/>
      </c>
      <c r="O61" s="24">
        <f>IF($M61="","",IFERROR(VLOOKUP($M61,Recursos!$A$6:$H$105,2,FALSE),""))</f>
        <v/>
      </c>
      <c r="P61" s="25" t="n"/>
      <c r="Q61" s="24">
        <f>IF($M61="","",IFERROR(VLOOKUP($M61,Recursos!$A$6:$H$105,5,FALSE),""))</f>
        <v/>
      </c>
      <c r="R61" s="26">
        <f>IF($M61="","",IFERROR(VLOOKUP($M61,Recursos!$A$6:$H$105,4,FALSE),""))</f>
        <v/>
      </c>
      <c r="S61" s="27">
        <f>IF($M61="","",IFERROR(VLOOKUP($M61,Recursos!$A$6:$H$105,6,FALSE),""))</f>
        <v/>
      </c>
      <c r="T61" s="27">
        <f>IF(OR($P61="",$S61=""),"",ROUND($P61*$S61,2))</f>
        <v/>
      </c>
      <c r="U61" s="18" t="n"/>
      <c r="V61" s="18" t="n"/>
      <c r="W61" s="18" t="n"/>
      <c r="X61" s="25" t="n"/>
      <c r="Y61" s="25" t="n"/>
      <c r="Z61" s="32" t="n"/>
      <c r="AA61" s="32" t="n"/>
      <c r="AB61" s="18" t="n"/>
      <c r="AC61" s="20" t="n"/>
      <c r="AD61" s="26">
        <f>IF($P61="","",MAX(0,$P61-N($X61)))</f>
        <v/>
      </c>
      <c r="AE61" s="23">
        <f>IF($A61="","",IF($M61="","Falta recurso",IF(IFERROR(VLOOKUP($M61,Recursos!$A$6:$H$105,7,FALSE),"No")&lt;&gt;"Sí","Recurso no activo",IF(OR($B61="",$H61="",$L61=""),"Faltan fecha u horarios",IF(OR($G61&gt;$H61,$H61&gt;$I61,$I61&gt;$J61,$J61&gt;$K61,$K61&gt;$L61),"Revisar secuencia horaria",IF(SUMPRODUCT(($B$6:$B$205=$B61)*($M$6:$M$205=$M61)*($H$6:$H$205&lt;$L61)*($L$6:$L$205&gt;$H61)*N($P$6:$P$205))&gt;N($R61),"Stock insuficiente",IF(AND($U61&lt;&gt;"",SUMPRODUCT(($B$6:$B$205=$B61)*($U$6:$U$205=$U61)*($A$6:$A$205&lt;&gt;$A61)*($H$6:$H$205&lt;$L61)*($L$6:$L$205&gt;$H61))&gt;0),"Vehículo solapado",IF(AND($Z61&lt;&gt;"",$J61&lt;&gt;"",$Z61&gt;$J61),"Entrega fuera de ventana",IF(AND($W61="Devuelto",N($Y61)&lt;N($X61)),"Devolución incompleta","")))))))))</f>
        <v/>
      </c>
      <c r="AF61" s="24">
        <f>IF($A61="","",IF(OR($B61="",$C61="",$D61="",$E61="",$H61="",$I61="",$J61="",$L61="",$M61="",$P61="",$U61="",$V61="",$W61=""),"Revisar",IF($AE61&lt;&gt;"","Revisar","Correcto")))</f>
        <v/>
      </c>
    </row>
    <row r="62">
      <c r="A62" s="18" t="n"/>
      <c r="B62" s="19" t="n"/>
      <c r="C62" s="20" t="n"/>
      <c r="D62" s="20" t="n"/>
      <c r="E62" s="18" t="n"/>
      <c r="F62" s="21" t="n"/>
      <c r="G62" s="32" t="n"/>
      <c r="H62" s="32" t="n"/>
      <c r="I62" s="32" t="n"/>
      <c r="J62" s="32" t="n"/>
      <c r="K62" s="32" t="n"/>
      <c r="L62" s="32" t="n"/>
      <c r="M62" s="18" t="n"/>
      <c r="N62" s="23">
        <f>IF($M62="","",IFERROR(VLOOKUP($M62,Recursos!$A$6:$H$105,3,FALSE),"Código no encontrado"))</f>
        <v/>
      </c>
      <c r="O62" s="24">
        <f>IF($M62="","",IFERROR(VLOOKUP($M62,Recursos!$A$6:$H$105,2,FALSE),""))</f>
        <v/>
      </c>
      <c r="P62" s="25" t="n"/>
      <c r="Q62" s="24">
        <f>IF($M62="","",IFERROR(VLOOKUP($M62,Recursos!$A$6:$H$105,5,FALSE),""))</f>
        <v/>
      </c>
      <c r="R62" s="26">
        <f>IF($M62="","",IFERROR(VLOOKUP($M62,Recursos!$A$6:$H$105,4,FALSE),""))</f>
        <v/>
      </c>
      <c r="S62" s="27">
        <f>IF($M62="","",IFERROR(VLOOKUP($M62,Recursos!$A$6:$H$105,6,FALSE),""))</f>
        <v/>
      </c>
      <c r="T62" s="27">
        <f>IF(OR($P62="",$S62=""),"",ROUND($P62*$S62,2))</f>
        <v/>
      </c>
      <c r="U62" s="18" t="n"/>
      <c r="V62" s="18" t="n"/>
      <c r="W62" s="18" t="n"/>
      <c r="X62" s="25" t="n"/>
      <c r="Y62" s="25" t="n"/>
      <c r="Z62" s="32" t="n"/>
      <c r="AA62" s="32" t="n"/>
      <c r="AB62" s="18" t="n"/>
      <c r="AC62" s="20" t="n"/>
      <c r="AD62" s="26">
        <f>IF($P62="","",MAX(0,$P62-N($X62)))</f>
        <v/>
      </c>
      <c r="AE62" s="23">
        <f>IF($A62="","",IF($M62="","Falta recurso",IF(IFERROR(VLOOKUP($M62,Recursos!$A$6:$H$105,7,FALSE),"No")&lt;&gt;"Sí","Recurso no activo",IF(OR($B62="",$H62="",$L62=""),"Faltan fecha u horarios",IF(OR($G62&gt;$H62,$H62&gt;$I62,$I62&gt;$J62,$J62&gt;$K62,$K62&gt;$L62),"Revisar secuencia horaria",IF(SUMPRODUCT(($B$6:$B$205=$B62)*($M$6:$M$205=$M62)*($H$6:$H$205&lt;$L62)*($L$6:$L$205&gt;$H62)*N($P$6:$P$205))&gt;N($R62),"Stock insuficiente",IF(AND($U62&lt;&gt;"",SUMPRODUCT(($B$6:$B$205=$B62)*($U$6:$U$205=$U62)*($A$6:$A$205&lt;&gt;$A62)*($H$6:$H$205&lt;$L62)*($L$6:$L$205&gt;$H62))&gt;0),"Vehículo solapado",IF(AND($Z62&lt;&gt;"",$J62&lt;&gt;"",$Z62&gt;$J62),"Entrega fuera de ventana",IF(AND($W62="Devuelto",N($Y62)&lt;N($X62)),"Devolución incompleta","")))))))))</f>
        <v/>
      </c>
      <c r="AF62" s="24">
        <f>IF($A62="","",IF(OR($B62="",$C62="",$D62="",$E62="",$H62="",$I62="",$J62="",$L62="",$M62="",$P62="",$U62="",$V62="",$W62=""),"Revisar",IF($AE62&lt;&gt;"","Revisar","Correcto")))</f>
        <v/>
      </c>
    </row>
    <row r="63">
      <c r="A63" s="18" t="n"/>
      <c r="B63" s="19" t="n"/>
      <c r="C63" s="20" t="n"/>
      <c r="D63" s="20" t="n"/>
      <c r="E63" s="18" t="n"/>
      <c r="F63" s="21" t="n"/>
      <c r="G63" s="32" t="n"/>
      <c r="H63" s="32" t="n"/>
      <c r="I63" s="32" t="n"/>
      <c r="J63" s="32" t="n"/>
      <c r="K63" s="32" t="n"/>
      <c r="L63" s="32" t="n"/>
      <c r="M63" s="18" t="n"/>
      <c r="N63" s="23">
        <f>IF($M63="","",IFERROR(VLOOKUP($M63,Recursos!$A$6:$H$105,3,FALSE),"Código no encontrado"))</f>
        <v/>
      </c>
      <c r="O63" s="24">
        <f>IF($M63="","",IFERROR(VLOOKUP($M63,Recursos!$A$6:$H$105,2,FALSE),""))</f>
        <v/>
      </c>
      <c r="P63" s="25" t="n"/>
      <c r="Q63" s="24">
        <f>IF($M63="","",IFERROR(VLOOKUP($M63,Recursos!$A$6:$H$105,5,FALSE),""))</f>
        <v/>
      </c>
      <c r="R63" s="26">
        <f>IF($M63="","",IFERROR(VLOOKUP($M63,Recursos!$A$6:$H$105,4,FALSE),""))</f>
        <v/>
      </c>
      <c r="S63" s="27">
        <f>IF($M63="","",IFERROR(VLOOKUP($M63,Recursos!$A$6:$H$105,6,FALSE),""))</f>
        <v/>
      </c>
      <c r="T63" s="27">
        <f>IF(OR($P63="",$S63=""),"",ROUND($P63*$S63,2))</f>
        <v/>
      </c>
      <c r="U63" s="18" t="n"/>
      <c r="V63" s="18" t="n"/>
      <c r="W63" s="18" t="n"/>
      <c r="X63" s="25" t="n"/>
      <c r="Y63" s="25" t="n"/>
      <c r="Z63" s="32" t="n"/>
      <c r="AA63" s="32" t="n"/>
      <c r="AB63" s="18" t="n"/>
      <c r="AC63" s="20" t="n"/>
      <c r="AD63" s="26">
        <f>IF($P63="","",MAX(0,$P63-N($X63)))</f>
        <v/>
      </c>
      <c r="AE63" s="23">
        <f>IF($A63="","",IF($M63="","Falta recurso",IF(IFERROR(VLOOKUP($M63,Recursos!$A$6:$H$105,7,FALSE),"No")&lt;&gt;"Sí","Recurso no activo",IF(OR($B63="",$H63="",$L63=""),"Faltan fecha u horarios",IF(OR($G63&gt;$H63,$H63&gt;$I63,$I63&gt;$J63,$J63&gt;$K63,$K63&gt;$L63),"Revisar secuencia horaria",IF(SUMPRODUCT(($B$6:$B$205=$B63)*($M$6:$M$205=$M63)*($H$6:$H$205&lt;$L63)*($L$6:$L$205&gt;$H63)*N($P$6:$P$205))&gt;N($R63),"Stock insuficiente",IF(AND($U63&lt;&gt;"",SUMPRODUCT(($B$6:$B$205=$B63)*($U$6:$U$205=$U63)*($A$6:$A$205&lt;&gt;$A63)*($H$6:$H$205&lt;$L63)*($L$6:$L$205&gt;$H63))&gt;0),"Vehículo solapado",IF(AND($Z63&lt;&gt;"",$J63&lt;&gt;"",$Z63&gt;$J63),"Entrega fuera de ventana",IF(AND($W63="Devuelto",N($Y63)&lt;N($X63)),"Devolución incompleta","")))))))))</f>
        <v/>
      </c>
      <c r="AF63" s="24">
        <f>IF($A63="","",IF(OR($B63="",$C63="",$D63="",$E63="",$H63="",$I63="",$J63="",$L63="",$M63="",$P63="",$U63="",$V63="",$W63=""),"Revisar",IF($AE63&lt;&gt;"","Revisar","Correcto")))</f>
        <v/>
      </c>
    </row>
    <row r="64">
      <c r="A64" s="18" t="n"/>
      <c r="B64" s="19" t="n"/>
      <c r="C64" s="20" t="n"/>
      <c r="D64" s="20" t="n"/>
      <c r="E64" s="18" t="n"/>
      <c r="F64" s="21" t="n"/>
      <c r="G64" s="32" t="n"/>
      <c r="H64" s="32" t="n"/>
      <c r="I64" s="32" t="n"/>
      <c r="J64" s="32" t="n"/>
      <c r="K64" s="32" t="n"/>
      <c r="L64" s="32" t="n"/>
      <c r="M64" s="18" t="n"/>
      <c r="N64" s="23">
        <f>IF($M64="","",IFERROR(VLOOKUP($M64,Recursos!$A$6:$H$105,3,FALSE),"Código no encontrado"))</f>
        <v/>
      </c>
      <c r="O64" s="24">
        <f>IF($M64="","",IFERROR(VLOOKUP($M64,Recursos!$A$6:$H$105,2,FALSE),""))</f>
        <v/>
      </c>
      <c r="P64" s="25" t="n"/>
      <c r="Q64" s="24">
        <f>IF($M64="","",IFERROR(VLOOKUP($M64,Recursos!$A$6:$H$105,5,FALSE),""))</f>
        <v/>
      </c>
      <c r="R64" s="26">
        <f>IF($M64="","",IFERROR(VLOOKUP($M64,Recursos!$A$6:$H$105,4,FALSE),""))</f>
        <v/>
      </c>
      <c r="S64" s="27">
        <f>IF($M64="","",IFERROR(VLOOKUP($M64,Recursos!$A$6:$H$105,6,FALSE),""))</f>
        <v/>
      </c>
      <c r="T64" s="27">
        <f>IF(OR($P64="",$S64=""),"",ROUND($P64*$S64,2))</f>
        <v/>
      </c>
      <c r="U64" s="18" t="n"/>
      <c r="V64" s="18" t="n"/>
      <c r="W64" s="18" t="n"/>
      <c r="X64" s="25" t="n"/>
      <c r="Y64" s="25" t="n"/>
      <c r="Z64" s="32" t="n"/>
      <c r="AA64" s="32" t="n"/>
      <c r="AB64" s="18" t="n"/>
      <c r="AC64" s="20" t="n"/>
      <c r="AD64" s="26">
        <f>IF($P64="","",MAX(0,$P64-N($X64)))</f>
        <v/>
      </c>
      <c r="AE64" s="23">
        <f>IF($A64="","",IF($M64="","Falta recurso",IF(IFERROR(VLOOKUP($M64,Recursos!$A$6:$H$105,7,FALSE),"No")&lt;&gt;"Sí","Recurso no activo",IF(OR($B64="",$H64="",$L64=""),"Faltan fecha u horarios",IF(OR($G64&gt;$H64,$H64&gt;$I64,$I64&gt;$J64,$J64&gt;$K64,$K64&gt;$L64),"Revisar secuencia horaria",IF(SUMPRODUCT(($B$6:$B$205=$B64)*($M$6:$M$205=$M64)*($H$6:$H$205&lt;$L64)*($L$6:$L$205&gt;$H64)*N($P$6:$P$205))&gt;N($R64),"Stock insuficiente",IF(AND($U64&lt;&gt;"",SUMPRODUCT(($B$6:$B$205=$B64)*($U$6:$U$205=$U64)*($A$6:$A$205&lt;&gt;$A64)*($H$6:$H$205&lt;$L64)*($L$6:$L$205&gt;$H64))&gt;0),"Vehículo solapado",IF(AND($Z64&lt;&gt;"",$J64&lt;&gt;"",$Z64&gt;$J64),"Entrega fuera de ventana",IF(AND($W64="Devuelto",N($Y64)&lt;N($X64)),"Devolución incompleta","")))))))))</f>
        <v/>
      </c>
      <c r="AF64" s="24">
        <f>IF($A64="","",IF(OR($B64="",$C64="",$D64="",$E64="",$H64="",$I64="",$J64="",$L64="",$M64="",$P64="",$U64="",$V64="",$W64=""),"Revisar",IF($AE64&lt;&gt;"","Revisar","Correcto")))</f>
        <v/>
      </c>
    </row>
    <row r="65">
      <c r="A65" s="18" t="n"/>
      <c r="B65" s="19" t="n"/>
      <c r="C65" s="20" t="n"/>
      <c r="D65" s="20" t="n"/>
      <c r="E65" s="18" t="n"/>
      <c r="F65" s="21" t="n"/>
      <c r="G65" s="32" t="n"/>
      <c r="H65" s="32" t="n"/>
      <c r="I65" s="32" t="n"/>
      <c r="J65" s="32" t="n"/>
      <c r="K65" s="32" t="n"/>
      <c r="L65" s="32" t="n"/>
      <c r="M65" s="18" t="n"/>
      <c r="N65" s="23">
        <f>IF($M65="","",IFERROR(VLOOKUP($M65,Recursos!$A$6:$H$105,3,FALSE),"Código no encontrado"))</f>
        <v/>
      </c>
      <c r="O65" s="24">
        <f>IF($M65="","",IFERROR(VLOOKUP($M65,Recursos!$A$6:$H$105,2,FALSE),""))</f>
        <v/>
      </c>
      <c r="P65" s="25" t="n"/>
      <c r="Q65" s="24">
        <f>IF($M65="","",IFERROR(VLOOKUP($M65,Recursos!$A$6:$H$105,5,FALSE),""))</f>
        <v/>
      </c>
      <c r="R65" s="26">
        <f>IF($M65="","",IFERROR(VLOOKUP($M65,Recursos!$A$6:$H$105,4,FALSE),""))</f>
        <v/>
      </c>
      <c r="S65" s="27">
        <f>IF($M65="","",IFERROR(VLOOKUP($M65,Recursos!$A$6:$H$105,6,FALSE),""))</f>
        <v/>
      </c>
      <c r="T65" s="27">
        <f>IF(OR($P65="",$S65=""),"",ROUND($P65*$S65,2))</f>
        <v/>
      </c>
      <c r="U65" s="18" t="n"/>
      <c r="V65" s="18" t="n"/>
      <c r="W65" s="18" t="n"/>
      <c r="X65" s="25" t="n"/>
      <c r="Y65" s="25" t="n"/>
      <c r="Z65" s="32" t="n"/>
      <c r="AA65" s="32" t="n"/>
      <c r="AB65" s="18" t="n"/>
      <c r="AC65" s="20" t="n"/>
      <c r="AD65" s="26">
        <f>IF($P65="","",MAX(0,$P65-N($X65)))</f>
        <v/>
      </c>
      <c r="AE65" s="23">
        <f>IF($A65="","",IF($M65="","Falta recurso",IF(IFERROR(VLOOKUP($M65,Recursos!$A$6:$H$105,7,FALSE),"No")&lt;&gt;"Sí","Recurso no activo",IF(OR($B65="",$H65="",$L65=""),"Faltan fecha u horarios",IF(OR($G65&gt;$H65,$H65&gt;$I65,$I65&gt;$J65,$J65&gt;$K65,$K65&gt;$L65),"Revisar secuencia horaria",IF(SUMPRODUCT(($B$6:$B$205=$B65)*($M$6:$M$205=$M65)*($H$6:$H$205&lt;$L65)*($L$6:$L$205&gt;$H65)*N($P$6:$P$205))&gt;N($R65),"Stock insuficiente",IF(AND($U65&lt;&gt;"",SUMPRODUCT(($B$6:$B$205=$B65)*($U$6:$U$205=$U65)*($A$6:$A$205&lt;&gt;$A65)*($H$6:$H$205&lt;$L65)*($L$6:$L$205&gt;$H65))&gt;0),"Vehículo solapado",IF(AND($Z65&lt;&gt;"",$J65&lt;&gt;"",$Z65&gt;$J65),"Entrega fuera de ventana",IF(AND($W65="Devuelto",N($Y65)&lt;N($X65)),"Devolución incompleta","")))))))))</f>
        <v/>
      </c>
      <c r="AF65" s="24">
        <f>IF($A65="","",IF(OR($B65="",$C65="",$D65="",$E65="",$H65="",$I65="",$J65="",$L65="",$M65="",$P65="",$U65="",$V65="",$W65=""),"Revisar",IF($AE65&lt;&gt;"","Revisar","Correcto")))</f>
        <v/>
      </c>
    </row>
    <row r="66">
      <c r="A66" s="18" t="n"/>
      <c r="B66" s="19" t="n"/>
      <c r="C66" s="20" t="n"/>
      <c r="D66" s="20" t="n"/>
      <c r="E66" s="18" t="n"/>
      <c r="F66" s="21" t="n"/>
      <c r="G66" s="32" t="n"/>
      <c r="H66" s="32" t="n"/>
      <c r="I66" s="32" t="n"/>
      <c r="J66" s="32" t="n"/>
      <c r="K66" s="32" t="n"/>
      <c r="L66" s="32" t="n"/>
      <c r="M66" s="18" t="n"/>
      <c r="N66" s="23">
        <f>IF($M66="","",IFERROR(VLOOKUP($M66,Recursos!$A$6:$H$105,3,FALSE),"Código no encontrado"))</f>
        <v/>
      </c>
      <c r="O66" s="24">
        <f>IF($M66="","",IFERROR(VLOOKUP($M66,Recursos!$A$6:$H$105,2,FALSE),""))</f>
        <v/>
      </c>
      <c r="P66" s="25" t="n"/>
      <c r="Q66" s="24">
        <f>IF($M66="","",IFERROR(VLOOKUP($M66,Recursos!$A$6:$H$105,5,FALSE),""))</f>
        <v/>
      </c>
      <c r="R66" s="26">
        <f>IF($M66="","",IFERROR(VLOOKUP($M66,Recursos!$A$6:$H$105,4,FALSE),""))</f>
        <v/>
      </c>
      <c r="S66" s="27">
        <f>IF($M66="","",IFERROR(VLOOKUP($M66,Recursos!$A$6:$H$105,6,FALSE),""))</f>
        <v/>
      </c>
      <c r="T66" s="27">
        <f>IF(OR($P66="",$S66=""),"",ROUND($P66*$S66,2))</f>
        <v/>
      </c>
      <c r="U66" s="18" t="n"/>
      <c r="V66" s="18" t="n"/>
      <c r="W66" s="18" t="n"/>
      <c r="X66" s="25" t="n"/>
      <c r="Y66" s="25" t="n"/>
      <c r="Z66" s="32" t="n"/>
      <c r="AA66" s="32" t="n"/>
      <c r="AB66" s="18" t="n"/>
      <c r="AC66" s="20" t="n"/>
      <c r="AD66" s="26">
        <f>IF($P66="","",MAX(0,$P66-N($X66)))</f>
        <v/>
      </c>
      <c r="AE66" s="23">
        <f>IF($A66="","",IF($M66="","Falta recurso",IF(IFERROR(VLOOKUP($M66,Recursos!$A$6:$H$105,7,FALSE),"No")&lt;&gt;"Sí","Recurso no activo",IF(OR($B66="",$H66="",$L66=""),"Faltan fecha u horarios",IF(OR($G66&gt;$H66,$H66&gt;$I66,$I66&gt;$J66,$J66&gt;$K66,$K66&gt;$L66),"Revisar secuencia horaria",IF(SUMPRODUCT(($B$6:$B$205=$B66)*($M$6:$M$205=$M66)*($H$6:$H$205&lt;$L66)*($L$6:$L$205&gt;$H66)*N($P$6:$P$205))&gt;N($R66),"Stock insuficiente",IF(AND($U66&lt;&gt;"",SUMPRODUCT(($B$6:$B$205=$B66)*($U$6:$U$205=$U66)*($A$6:$A$205&lt;&gt;$A66)*($H$6:$H$205&lt;$L66)*($L$6:$L$205&gt;$H66))&gt;0),"Vehículo solapado",IF(AND($Z66&lt;&gt;"",$J66&lt;&gt;"",$Z66&gt;$J66),"Entrega fuera de ventana",IF(AND($W66="Devuelto",N($Y66)&lt;N($X66)),"Devolución incompleta","")))))))))</f>
        <v/>
      </c>
      <c r="AF66" s="24">
        <f>IF($A66="","",IF(OR($B66="",$C66="",$D66="",$E66="",$H66="",$I66="",$J66="",$L66="",$M66="",$P66="",$U66="",$V66="",$W66=""),"Revisar",IF($AE66&lt;&gt;"","Revisar","Correcto")))</f>
        <v/>
      </c>
    </row>
    <row r="67">
      <c r="A67" s="18" t="n"/>
      <c r="B67" s="19" t="n"/>
      <c r="C67" s="20" t="n"/>
      <c r="D67" s="20" t="n"/>
      <c r="E67" s="18" t="n"/>
      <c r="F67" s="21" t="n"/>
      <c r="G67" s="32" t="n"/>
      <c r="H67" s="32" t="n"/>
      <c r="I67" s="32" t="n"/>
      <c r="J67" s="32" t="n"/>
      <c r="K67" s="32" t="n"/>
      <c r="L67" s="32" t="n"/>
      <c r="M67" s="18" t="n"/>
      <c r="N67" s="23">
        <f>IF($M67="","",IFERROR(VLOOKUP($M67,Recursos!$A$6:$H$105,3,FALSE),"Código no encontrado"))</f>
        <v/>
      </c>
      <c r="O67" s="24">
        <f>IF($M67="","",IFERROR(VLOOKUP($M67,Recursos!$A$6:$H$105,2,FALSE),""))</f>
        <v/>
      </c>
      <c r="P67" s="25" t="n"/>
      <c r="Q67" s="24">
        <f>IF($M67="","",IFERROR(VLOOKUP($M67,Recursos!$A$6:$H$105,5,FALSE),""))</f>
        <v/>
      </c>
      <c r="R67" s="26">
        <f>IF($M67="","",IFERROR(VLOOKUP($M67,Recursos!$A$6:$H$105,4,FALSE),""))</f>
        <v/>
      </c>
      <c r="S67" s="27">
        <f>IF($M67="","",IFERROR(VLOOKUP($M67,Recursos!$A$6:$H$105,6,FALSE),""))</f>
        <v/>
      </c>
      <c r="T67" s="27">
        <f>IF(OR($P67="",$S67=""),"",ROUND($P67*$S67,2))</f>
        <v/>
      </c>
      <c r="U67" s="18" t="n"/>
      <c r="V67" s="18" t="n"/>
      <c r="W67" s="18" t="n"/>
      <c r="X67" s="25" t="n"/>
      <c r="Y67" s="25" t="n"/>
      <c r="Z67" s="32" t="n"/>
      <c r="AA67" s="32" t="n"/>
      <c r="AB67" s="18" t="n"/>
      <c r="AC67" s="20" t="n"/>
      <c r="AD67" s="26">
        <f>IF($P67="","",MAX(0,$P67-N($X67)))</f>
        <v/>
      </c>
      <c r="AE67" s="23">
        <f>IF($A67="","",IF($M67="","Falta recurso",IF(IFERROR(VLOOKUP($M67,Recursos!$A$6:$H$105,7,FALSE),"No")&lt;&gt;"Sí","Recurso no activo",IF(OR($B67="",$H67="",$L67=""),"Faltan fecha u horarios",IF(OR($G67&gt;$H67,$H67&gt;$I67,$I67&gt;$J67,$J67&gt;$K67,$K67&gt;$L67),"Revisar secuencia horaria",IF(SUMPRODUCT(($B$6:$B$205=$B67)*($M$6:$M$205=$M67)*($H$6:$H$205&lt;$L67)*($L$6:$L$205&gt;$H67)*N($P$6:$P$205))&gt;N($R67),"Stock insuficiente",IF(AND($U67&lt;&gt;"",SUMPRODUCT(($B$6:$B$205=$B67)*($U$6:$U$205=$U67)*($A$6:$A$205&lt;&gt;$A67)*($H$6:$H$205&lt;$L67)*($L$6:$L$205&gt;$H67))&gt;0),"Vehículo solapado",IF(AND($Z67&lt;&gt;"",$J67&lt;&gt;"",$Z67&gt;$J67),"Entrega fuera de ventana",IF(AND($W67="Devuelto",N($Y67)&lt;N($X67)),"Devolución incompleta","")))))))))</f>
        <v/>
      </c>
      <c r="AF67" s="24">
        <f>IF($A67="","",IF(OR($B67="",$C67="",$D67="",$E67="",$H67="",$I67="",$J67="",$L67="",$M67="",$P67="",$U67="",$V67="",$W67=""),"Revisar",IF($AE67&lt;&gt;"","Revisar","Correcto")))</f>
        <v/>
      </c>
    </row>
    <row r="68">
      <c r="A68" s="18" t="n"/>
      <c r="B68" s="19" t="n"/>
      <c r="C68" s="20" t="n"/>
      <c r="D68" s="20" t="n"/>
      <c r="E68" s="18" t="n"/>
      <c r="F68" s="21" t="n"/>
      <c r="G68" s="32" t="n"/>
      <c r="H68" s="32" t="n"/>
      <c r="I68" s="32" t="n"/>
      <c r="J68" s="32" t="n"/>
      <c r="K68" s="32" t="n"/>
      <c r="L68" s="32" t="n"/>
      <c r="M68" s="18" t="n"/>
      <c r="N68" s="23">
        <f>IF($M68="","",IFERROR(VLOOKUP($M68,Recursos!$A$6:$H$105,3,FALSE),"Código no encontrado"))</f>
        <v/>
      </c>
      <c r="O68" s="24">
        <f>IF($M68="","",IFERROR(VLOOKUP($M68,Recursos!$A$6:$H$105,2,FALSE),""))</f>
        <v/>
      </c>
      <c r="P68" s="25" t="n"/>
      <c r="Q68" s="24">
        <f>IF($M68="","",IFERROR(VLOOKUP($M68,Recursos!$A$6:$H$105,5,FALSE),""))</f>
        <v/>
      </c>
      <c r="R68" s="26">
        <f>IF($M68="","",IFERROR(VLOOKUP($M68,Recursos!$A$6:$H$105,4,FALSE),""))</f>
        <v/>
      </c>
      <c r="S68" s="27">
        <f>IF($M68="","",IFERROR(VLOOKUP($M68,Recursos!$A$6:$H$105,6,FALSE),""))</f>
        <v/>
      </c>
      <c r="T68" s="27">
        <f>IF(OR($P68="",$S68=""),"",ROUND($P68*$S68,2))</f>
        <v/>
      </c>
      <c r="U68" s="18" t="n"/>
      <c r="V68" s="18" t="n"/>
      <c r="W68" s="18" t="n"/>
      <c r="X68" s="25" t="n"/>
      <c r="Y68" s="25" t="n"/>
      <c r="Z68" s="32" t="n"/>
      <c r="AA68" s="32" t="n"/>
      <c r="AB68" s="18" t="n"/>
      <c r="AC68" s="20" t="n"/>
      <c r="AD68" s="26">
        <f>IF($P68="","",MAX(0,$P68-N($X68)))</f>
        <v/>
      </c>
      <c r="AE68" s="23">
        <f>IF($A68="","",IF($M68="","Falta recurso",IF(IFERROR(VLOOKUP($M68,Recursos!$A$6:$H$105,7,FALSE),"No")&lt;&gt;"Sí","Recurso no activo",IF(OR($B68="",$H68="",$L68=""),"Faltan fecha u horarios",IF(OR($G68&gt;$H68,$H68&gt;$I68,$I68&gt;$J68,$J68&gt;$K68,$K68&gt;$L68),"Revisar secuencia horaria",IF(SUMPRODUCT(($B$6:$B$205=$B68)*($M$6:$M$205=$M68)*($H$6:$H$205&lt;$L68)*($L$6:$L$205&gt;$H68)*N($P$6:$P$205))&gt;N($R68),"Stock insuficiente",IF(AND($U68&lt;&gt;"",SUMPRODUCT(($B$6:$B$205=$B68)*($U$6:$U$205=$U68)*($A$6:$A$205&lt;&gt;$A68)*($H$6:$H$205&lt;$L68)*($L$6:$L$205&gt;$H68))&gt;0),"Vehículo solapado",IF(AND($Z68&lt;&gt;"",$J68&lt;&gt;"",$Z68&gt;$J68),"Entrega fuera de ventana",IF(AND($W68="Devuelto",N($Y68)&lt;N($X68)),"Devolución incompleta","")))))))))</f>
        <v/>
      </c>
      <c r="AF68" s="24">
        <f>IF($A68="","",IF(OR($B68="",$C68="",$D68="",$E68="",$H68="",$I68="",$J68="",$L68="",$M68="",$P68="",$U68="",$V68="",$W68=""),"Revisar",IF($AE68&lt;&gt;"","Revisar","Correcto")))</f>
        <v/>
      </c>
    </row>
    <row r="69">
      <c r="A69" s="18" t="n"/>
      <c r="B69" s="19" t="n"/>
      <c r="C69" s="20" t="n"/>
      <c r="D69" s="20" t="n"/>
      <c r="E69" s="18" t="n"/>
      <c r="F69" s="21" t="n"/>
      <c r="G69" s="32" t="n"/>
      <c r="H69" s="32" t="n"/>
      <c r="I69" s="32" t="n"/>
      <c r="J69" s="32" t="n"/>
      <c r="K69" s="32" t="n"/>
      <c r="L69" s="32" t="n"/>
      <c r="M69" s="18" t="n"/>
      <c r="N69" s="23">
        <f>IF($M69="","",IFERROR(VLOOKUP($M69,Recursos!$A$6:$H$105,3,FALSE),"Código no encontrado"))</f>
        <v/>
      </c>
      <c r="O69" s="24">
        <f>IF($M69="","",IFERROR(VLOOKUP($M69,Recursos!$A$6:$H$105,2,FALSE),""))</f>
        <v/>
      </c>
      <c r="P69" s="25" t="n"/>
      <c r="Q69" s="24">
        <f>IF($M69="","",IFERROR(VLOOKUP($M69,Recursos!$A$6:$H$105,5,FALSE),""))</f>
        <v/>
      </c>
      <c r="R69" s="26">
        <f>IF($M69="","",IFERROR(VLOOKUP($M69,Recursos!$A$6:$H$105,4,FALSE),""))</f>
        <v/>
      </c>
      <c r="S69" s="27">
        <f>IF($M69="","",IFERROR(VLOOKUP($M69,Recursos!$A$6:$H$105,6,FALSE),""))</f>
        <v/>
      </c>
      <c r="T69" s="27">
        <f>IF(OR($P69="",$S69=""),"",ROUND($P69*$S69,2))</f>
        <v/>
      </c>
      <c r="U69" s="18" t="n"/>
      <c r="V69" s="18" t="n"/>
      <c r="W69" s="18" t="n"/>
      <c r="X69" s="25" t="n"/>
      <c r="Y69" s="25" t="n"/>
      <c r="Z69" s="32" t="n"/>
      <c r="AA69" s="32" t="n"/>
      <c r="AB69" s="18" t="n"/>
      <c r="AC69" s="20" t="n"/>
      <c r="AD69" s="26">
        <f>IF($P69="","",MAX(0,$P69-N($X69)))</f>
        <v/>
      </c>
      <c r="AE69" s="23">
        <f>IF($A69="","",IF($M69="","Falta recurso",IF(IFERROR(VLOOKUP($M69,Recursos!$A$6:$H$105,7,FALSE),"No")&lt;&gt;"Sí","Recurso no activo",IF(OR($B69="",$H69="",$L69=""),"Faltan fecha u horarios",IF(OR($G69&gt;$H69,$H69&gt;$I69,$I69&gt;$J69,$J69&gt;$K69,$K69&gt;$L69),"Revisar secuencia horaria",IF(SUMPRODUCT(($B$6:$B$205=$B69)*($M$6:$M$205=$M69)*($H$6:$H$205&lt;$L69)*($L$6:$L$205&gt;$H69)*N($P$6:$P$205))&gt;N($R69),"Stock insuficiente",IF(AND($U69&lt;&gt;"",SUMPRODUCT(($B$6:$B$205=$B69)*($U$6:$U$205=$U69)*($A$6:$A$205&lt;&gt;$A69)*($H$6:$H$205&lt;$L69)*($L$6:$L$205&gt;$H69))&gt;0),"Vehículo solapado",IF(AND($Z69&lt;&gt;"",$J69&lt;&gt;"",$Z69&gt;$J69),"Entrega fuera de ventana",IF(AND($W69="Devuelto",N($Y69)&lt;N($X69)),"Devolución incompleta","")))))))))</f>
        <v/>
      </c>
      <c r="AF69" s="24">
        <f>IF($A69="","",IF(OR($B69="",$C69="",$D69="",$E69="",$H69="",$I69="",$J69="",$L69="",$M69="",$P69="",$U69="",$V69="",$W69=""),"Revisar",IF($AE69&lt;&gt;"","Revisar","Correcto")))</f>
        <v/>
      </c>
    </row>
    <row r="70">
      <c r="A70" s="18" t="n"/>
      <c r="B70" s="19" t="n"/>
      <c r="C70" s="20" t="n"/>
      <c r="D70" s="20" t="n"/>
      <c r="E70" s="18" t="n"/>
      <c r="F70" s="21" t="n"/>
      <c r="G70" s="32" t="n"/>
      <c r="H70" s="32" t="n"/>
      <c r="I70" s="32" t="n"/>
      <c r="J70" s="32" t="n"/>
      <c r="K70" s="32" t="n"/>
      <c r="L70" s="32" t="n"/>
      <c r="M70" s="18" t="n"/>
      <c r="N70" s="23">
        <f>IF($M70="","",IFERROR(VLOOKUP($M70,Recursos!$A$6:$H$105,3,FALSE),"Código no encontrado"))</f>
        <v/>
      </c>
      <c r="O70" s="24">
        <f>IF($M70="","",IFERROR(VLOOKUP($M70,Recursos!$A$6:$H$105,2,FALSE),""))</f>
        <v/>
      </c>
      <c r="P70" s="25" t="n"/>
      <c r="Q70" s="24">
        <f>IF($M70="","",IFERROR(VLOOKUP($M70,Recursos!$A$6:$H$105,5,FALSE),""))</f>
        <v/>
      </c>
      <c r="R70" s="26">
        <f>IF($M70="","",IFERROR(VLOOKUP($M70,Recursos!$A$6:$H$105,4,FALSE),""))</f>
        <v/>
      </c>
      <c r="S70" s="27">
        <f>IF($M70="","",IFERROR(VLOOKUP($M70,Recursos!$A$6:$H$105,6,FALSE),""))</f>
        <v/>
      </c>
      <c r="T70" s="27">
        <f>IF(OR($P70="",$S70=""),"",ROUND($P70*$S70,2))</f>
        <v/>
      </c>
      <c r="U70" s="18" t="n"/>
      <c r="V70" s="18" t="n"/>
      <c r="W70" s="18" t="n"/>
      <c r="X70" s="25" t="n"/>
      <c r="Y70" s="25" t="n"/>
      <c r="Z70" s="32" t="n"/>
      <c r="AA70" s="32" t="n"/>
      <c r="AB70" s="18" t="n"/>
      <c r="AC70" s="20" t="n"/>
      <c r="AD70" s="26">
        <f>IF($P70="","",MAX(0,$P70-N($X70)))</f>
        <v/>
      </c>
      <c r="AE70" s="23">
        <f>IF($A70="","",IF($M70="","Falta recurso",IF(IFERROR(VLOOKUP($M70,Recursos!$A$6:$H$105,7,FALSE),"No")&lt;&gt;"Sí","Recurso no activo",IF(OR($B70="",$H70="",$L70=""),"Faltan fecha u horarios",IF(OR($G70&gt;$H70,$H70&gt;$I70,$I70&gt;$J70,$J70&gt;$K70,$K70&gt;$L70),"Revisar secuencia horaria",IF(SUMPRODUCT(($B$6:$B$205=$B70)*($M$6:$M$205=$M70)*($H$6:$H$205&lt;$L70)*($L$6:$L$205&gt;$H70)*N($P$6:$P$205))&gt;N($R70),"Stock insuficiente",IF(AND($U70&lt;&gt;"",SUMPRODUCT(($B$6:$B$205=$B70)*($U$6:$U$205=$U70)*($A$6:$A$205&lt;&gt;$A70)*($H$6:$H$205&lt;$L70)*($L$6:$L$205&gt;$H70))&gt;0),"Vehículo solapado",IF(AND($Z70&lt;&gt;"",$J70&lt;&gt;"",$Z70&gt;$J70),"Entrega fuera de ventana",IF(AND($W70="Devuelto",N($Y70)&lt;N($X70)),"Devolución incompleta","")))))))))</f>
        <v/>
      </c>
      <c r="AF70" s="24">
        <f>IF($A70="","",IF(OR($B70="",$C70="",$D70="",$E70="",$H70="",$I70="",$J70="",$L70="",$M70="",$P70="",$U70="",$V70="",$W70=""),"Revisar",IF($AE70&lt;&gt;"","Revisar","Correcto")))</f>
        <v/>
      </c>
    </row>
    <row r="71">
      <c r="A71" s="18" t="n"/>
      <c r="B71" s="19" t="n"/>
      <c r="C71" s="20" t="n"/>
      <c r="D71" s="20" t="n"/>
      <c r="E71" s="18" t="n"/>
      <c r="F71" s="21" t="n"/>
      <c r="G71" s="32" t="n"/>
      <c r="H71" s="32" t="n"/>
      <c r="I71" s="32" t="n"/>
      <c r="J71" s="32" t="n"/>
      <c r="K71" s="32" t="n"/>
      <c r="L71" s="32" t="n"/>
      <c r="M71" s="18" t="n"/>
      <c r="N71" s="23">
        <f>IF($M71="","",IFERROR(VLOOKUP($M71,Recursos!$A$6:$H$105,3,FALSE),"Código no encontrado"))</f>
        <v/>
      </c>
      <c r="O71" s="24">
        <f>IF($M71="","",IFERROR(VLOOKUP($M71,Recursos!$A$6:$H$105,2,FALSE),""))</f>
        <v/>
      </c>
      <c r="P71" s="25" t="n"/>
      <c r="Q71" s="24">
        <f>IF($M71="","",IFERROR(VLOOKUP($M71,Recursos!$A$6:$H$105,5,FALSE),""))</f>
        <v/>
      </c>
      <c r="R71" s="26">
        <f>IF($M71="","",IFERROR(VLOOKUP($M71,Recursos!$A$6:$H$105,4,FALSE),""))</f>
        <v/>
      </c>
      <c r="S71" s="27">
        <f>IF($M71="","",IFERROR(VLOOKUP($M71,Recursos!$A$6:$H$105,6,FALSE),""))</f>
        <v/>
      </c>
      <c r="T71" s="27">
        <f>IF(OR($P71="",$S71=""),"",ROUND($P71*$S71,2))</f>
        <v/>
      </c>
      <c r="U71" s="18" t="n"/>
      <c r="V71" s="18" t="n"/>
      <c r="W71" s="18" t="n"/>
      <c r="X71" s="25" t="n"/>
      <c r="Y71" s="25" t="n"/>
      <c r="Z71" s="32" t="n"/>
      <c r="AA71" s="32" t="n"/>
      <c r="AB71" s="18" t="n"/>
      <c r="AC71" s="20" t="n"/>
      <c r="AD71" s="26">
        <f>IF($P71="","",MAX(0,$P71-N($X71)))</f>
        <v/>
      </c>
      <c r="AE71" s="23">
        <f>IF($A71="","",IF($M71="","Falta recurso",IF(IFERROR(VLOOKUP($M71,Recursos!$A$6:$H$105,7,FALSE),"No")&lt;&gt;"Sí","Recurso no activo",IF(OR($B71="",$H71="",$L71=""),"Faltan fecha u horarios",IF(OR($G71&gt;$H71,$H71&gt;$I71,$I71&gt;$J71,$J71&gt;$K71,$K71&gt;$L71),"Revisar secuencia horaria",IF(SUMPRODUCT(($B$6:$B$205=$B71)*($M$6:$M$205=$M71)*($H$6:$H$205&lt;$L71)*($L$6:$L$205&gt;$H71)*N($P$6:$P$205))&gt;N($R71),"Stock insuficiente",IF(AND($U71&lt;&gt;"",SUMPRODUCT(($B$6:$B$205=$B71)*($U$6:$U$205=$U71)*($A$6:$A$205&lt;&gt;$A71)*($H$6:$H$205&lt;$L71)*($L$6:$L$205&gt;$H71))&gt;0),"Vehículo solapado",IF(AND($Z71&lt;&gt;"",$J71&lt;&gt;"",$Z71&gt;$J71),"Entrega fuera de ventana",IF(AND($W71="Devuelto",N($Y71)&lt;N($X71)),"Devolución incompleta","")))))))))</f>
        <v/>
      </c>
      <c r="AF71" s="24">
        <f>IF($A71="","",IF(OR($B71="",$C71="",$D71="",$E71="",$H71="",$I71="",$J71="",$L71="",$M71="",$P71="",$U71="",$V71="",$W71=""),"Revisar",IF($AE71&lt;&gt;"","Revisar","Correcto")))</f>
        <v/>
      </c>
    </row>
    <row r="72">
      <c r="A72" s="18" t="n"/>
      <c r="B72" s="19" t="n"/>
      <c r="C72" s="20" t="n"/>
      <c r="D72" s="20" t="n"/>
      <c r="E72" s="18" t="n"/>
      <c r="F72" s="21" t="n"/>
      <c r="G72" s="32" t="n"/>
      <c r="H72" s="32" t="n"/>
      <c r="I72" s="32" t="n"/>
      <c r="J72" s="32" t="n"/>
      <c r="K72" s="32" t="n"/>
      <c r="L72" s="32" t="n"/>
      <c r="M72" s="18" t="n"/>
      <c r="N72" s="23">
        <f>IF($M72="","",IFERROR(VLOOKUP($M72,Recursos!$A$6:$H$105,3,FALSE),"Código no encontrado"))</f>
        <v/>
      </c>
      <c r="O72" s="24">
        <f>IF($M72="","",IFERROR(VLOOKUP($M72,Recursos!$A$6:$H$105,2,FALSE),""))</f>
        <v/>
      </c>
      <c r="P72" s="25" t="n"/>
      <c r="Q72" s="24">
        <f>IF($M72="","",IFERROR(VLOOKUP($M72,Recursos!$A$6:$H$105,5,FALSE),""))</f>
        <v/>
      </c>
      <c r="R72" s="26">
        <f>IF($M72="","",IFERROR(VLOOKUP($M72,Recursos!$A$6:$H$105,4,FALSE),""))</f>
        <v/>
      </c>
      <c r="S72" s="27">
        <f>IF($M72="","",IFERROR(VLOOKUP($M72,Recursos!$A$6:$H$105,6,FALSE),""))</f>
        <v/>
      </c>
      <c r="T72" s="27">
        <f>IF(OR($P72="",$S72=""),"",ROUND($P72*$S72,2))</f>
        <v/>
      </c>
      <c r="U72" s="18" t="n"/>
      <c r="V72" s="18" t="n"/>
      <c r="W72" s="18" t="n"/>
      <c r="X72" s="25" t="n"/>
      <c r="Y72" s="25" t="n"/>
      <c r="Z72" s="32" t="n"/>
      <c r="AA72" s="32" t="n"/>
      <c r="AB72" s="18" t="n"/>
      <c r="AC72" s="20" t="n"/>
      <c r="AD72" s="26">
        <f>IF($P72="","",MAX(0,$P72-N($X72)))</f>
        <v/>
      </c>
      <c r="AE72" s="23">
        <f>IF($A72="","",IF($M72="","Falta recurso",IF(IFERROR(VLOOKUP($M72,Recursos!$A$6:$H$105,7,FALSE),"No")&lt;&gt;"Sí","Recurso no activo",IF(OR($B72="",$H72="",$L72=""),"Faltan fecha u horarios",IF(OR($G72&gt;$H72,$H72&gt;$I72,$I72&gt;$J72,$J72&gt;$K72,$K72&gt;$L72),"Revisar secuencia horaria",IF(SUMPRODUCT(($B$6:$B$205=$B72)*($M$6:$M$205=$M72)*($H$6:$H$205&lt;$L72)*($L$6:$L$205&gt;$H72)*N($P$6:$P$205))&gt;N($R72),"Stock insuficiente",IF(AND($U72&lt;&gt;"",SUMPRODUCT(($B$6:$B$205=$B72)*($U$6:$U$205=$U72)*($A$6:$A$205&lt;&gt;$A72)*($H$6:$H$205&lt;$L72)*($L$6:$L$205&gt;$H72))&gt;0),"Vehículo solapado",IF(AND($Z72&lt;&gt;"",$J72&lt;&gt;"",$Z72&gt;$J72),"Entrega fuera de ventana",IF(AND($W72="Devuelto",N($Y72)&lt;N($X72)),"Devolución incompleta","")))))))))</f>
        <v/>
      </c>
      <c r="AF72" s="24">
        <f>IF($A72="","",IF(OR($B72="",$C72="",$D72="",$E72="",$H72="",$I72="",$J72="",$L72="",$M72="",$P72="",$U72="",$V72="",$W72=""),"Revisar",IF($AE72&lt;&gt;"","Revisar","Correcto")))</f>
        <v/>
      </c>
    </row>
    <row r="73">
      <c r="A73" s="18" t="n"/>
      <c r="B73" s="19" t="n"/>
      <c r="C73" s="20" t="n"/>
      <c r="D73" s="20" t="n"/>
      <c r="E73" s="18" t="n"/>
      <c r="F73" s="21" t="n"/>
      <c r="G73" s="32" t="n"/>
      <c r="H73" s="32" t="n"/>
      <c r="I73" s="32" t="n"/>
      <c r="J73" s="32" t="n"/>
      <c r="K73" s="32" t="n"/>
      <c r="L73" s="32" t="n"/>
      <c r="M73" s="18" t="n"/>
      <c r="N73" s="23">
        <f>IF($M73="","",IFERROR(VLOOKUP($M73,Recursos!$A$6:$H$105,3,FALSE),"Código no encontrado"))</f>
        <v/>
      </c>
      <c r="O73" s="24">
        <f>IF($M73="","",IFERROR(VLOOKUP($M73,Recursos!$A$6:$H$105,2,FALSE),""))</f>
        <v/>
      </c>
      <c r="P73" s="25" t="n"/>
      <c r="Q73" s="24">
        <f>IF($M73="","",IFERROR(VLOOKUP($M73,Recursos!$A$6:$H$105,5,FALSE),""))</f>
        <v/>
      </c>
      <c r="R73" s="26">
        <f>IF($M73="","",IFERROR(VLOOKUP($M73,Recursos!$A$6:$H$105,4,FALSE),""))</f>
        <v/>
      </c>
      <c r="S73" s="27">
        <f>IF($M73="","",IFERROR(VLOOKUP($M73,Recursos!$A$6:$H$105,6,FALSE),""))</f>
        <v/>
      </c>
      <c r="T73" s="27">
        <f>IF(OR($P73="",$S73=""),"",ROUND($P73*$S73,2))</f>
        <v/>
      </c>
      <c r="U73" s="18" t="n"/>
      <c r="V73" s="18" t="n"/>
      <c r="W73" s="18" t="n"/>
      <c r="X73" s="25" t="n"/>
      <c r="Y73" s="25" t="n"/>
      <c r="Z73" s="32" t="n"/>
      <c r="AA73" s="32" t="n"/>
      <c r="AB73" s="18" t="n"/>
      <c r="AC73" s="20" t="n"/>
      <c r="AD73" s="26">
        <f>IF($P73="","",MAX(0,$P73-N($X73)))</f>
        <v/>
      </c>
      <c r="AE73" s="23">
        <f>IF($A73="","",IF($M73="","Falta recurso",IF(IFERROR(VLOOKUP($M73,Recursos!$A$6:$H$105,7,FALSE),"No")&lt;&gt;"Sí","Recurso no activo",IF(OR($B73="",$H73="",$L73=""),"Faltan fecha u horarios",IF(OR($G73&gt;$H73,$H73&gt;$I73,$I73&gt;$J73,$J73&gt;$K73,$K73&gt;$L73),"Revisar secuencia horaria",IF(SUMPRODUCT(($B$6:$B$205=$B73)*($M$6:$M$205=$M73)*($H$6:$H$205&lt;$L73)*($L$6:$L$205&gt;$H73)*N($P$6:$P$205))&gt;N($R73),"Stock insuficiente",IF(AND($U73&lt;&gt;"",SUMPRODUCT(($B$6:$B$205=$B73)*($U$6:$U$205=$U73)*($A$6:$A$205&lt;&gt;$A73)*($H$6:$H$205&lt;$L73)*($L$6:$L$205&gt;$H73))&gt;0),"Vehículo solapado",IF(AND($Z73&lt;&gt;"",$J73&lt;&gt;"",$Z73&gt;$J73),"Entrega fuera de ventana",IF(AND($W73="Devuelto",N($Y73)&lt;N($X73)),"Devolución incompleta","")))))))))</f>
        <v/>
      </c>
      <c r="AF73" s="24">
        <f>IF($A73="","",IF(OR($B73="",$C73="",$D73="",$E73="",$H73="",$I73="",$J73="",$L73="",$M73="",$P73="",$U73="",$V73="",$W73=""),"Revisar",IF($AE73&lt;&gt;"","Revisar","Correcto")))</f>
        <v/>
      </c>
    </row>
    <row r="74">
      <c r="A74" s="18" t="n"/>
      <c r="B74" s="19" t="n"/>
      <c r="C74" s="20" t="n"/>
      <c r="D74" s="20" t="n"/>
      <c r="E74" s="18" t="n"/>
      <c r="F74" s="21" t="n"/>
      <c r="G74" s="32" t="n"/>
      <c r="H74" s="32" t="n"/>
      <c r="I74" s="32" t="n"/>
      <c r="J74" s="32" t="n"/>
      <c r="K74" s="32" t="n"/>
      <c r="L74" s="32" t="n"/>
      <c r="M74" s="18" t="n"/>
      <c r="N74" s="23">
        <f>IF($M74="","",IFERROR(VLOOKUP($M74,Recursos!$A$6:$H$105,3,FALSE),"Código no encontrado"))</f>
        <v/>
      </c>
      <c r="O74" s="24">
        <f>IF($M74="","",IFERROR(VLOOKUP($M74,Recursos!$A$6:$H$105,2,FALSE),""))</f>
        <v/>
      </c>
      <c r="P74" s="25" t="n"/>
      <c r="Q74" s="24">
        <f>IF($M74="","",IFERROR(VLOOKUP($M74,Recursos!$A$6:$H$105,5,FALSE),""))</f>
        <v/>
      </c>
      <c r="R74" s="26">
        <f>IF($M74="","",IFERROR(VLOOKUP($M74,Recursos!$A$6:$H$105,4,FALSE),""))</f>
        <v/>
      </c>
      <c r="S74" s="27">
        <f>IF($M74="","",IFERROR(VLOOKUP($M74,Recursos!$A$6:$H$105,6,FALSE),""))</f>
        <v/>
      </c>
      <c r="T74" s="27">
        <f>IF(OR($P74="",$S74=""),"",ROUND($P74*$S74,2))</f>
        <v/>
      </c>
      <c r="U74" s="18" t="n"/>
      <c r="V74" s="18" t="n"/>
      <c r="W74" s="18" t="n"/>
      <c r="X74" s="25" t="n"/>
      <c r="Y74" s="25" t="n"/>
      <c r="Z74" s="32" t="n"/>
      <c r="AA74" s="32" t="n"/>
      <c r="AB74" s="18" t="n"/>
      <c r="AC74" s="20" t="n"/>
      <c r="AD74" s="26">
        <f>IF($P74="","",MAX(0,$P74-N($X74)))</f>
        <v/>
      </c>
      <c r="AE74" s="23">
        <f>IF($A74="","",IF($M74="","Falta recurso",IF(IFERROR(VLOOKUP($M74,Recursos!$A$6:$H$105,7,FALSE),"No")&lt;&gt;"Sí","Recurso no activo",IF(OR($B74="",$H74="",$L74=""),"Faltan fecha u horarios",IF(OR($G74&gt;$H74,$H74&gt;$I74,$I74&gt;$J74,$J74&gt;$K74,$K74&gt;$L74),"Revisar secuencia horaria",IF(SUMPRODUCT(($B$6:$B$205=$B74)*($M$6:$M$205=$M74)*($H$6:$H$205&lt;$L74)*($L$6:$L$205&gt;$H74)*N($P$6:$P$205))&gt;N($R74),"Stock insuficiente",IF(AND($U74&lt;&gt;"",SUMPRODUCT(($B$6:$B$205=$B74)*($U$6:$U$205=$U74)*($A$6:$A$205&lt;&gt;$A74)*($H$6:$H$205&lt;$L74)*($L$6:$L$205&gt;$H74))&gt;0),"Vehículo solapado",IF(AND($Z74&lt;&gt;"",$J74&lt;&gt;"",$Z74&gt;$J74),"Entrega fuera de ventana",IF(AND($W74="Devuelto",N($Y74)&lt;N($X74)),"Devolución incompleta","")))))))))</f>
        <v/>
      </c>
      <c r="AF74" s="24">
        <f>IF($A74="","",IF(OR($B74="",$C74="",$D74="",$E74="",$H74="",$I74="",$J74="",$L74="",$M74="",$P74="",$U74="",$V74="",$W74=""),"Revisar",IF($AE74&lt;&gt;"","Revisar","Correcto")))</f>
        <v/>
      </c>
    </row>
    <row r="75">
      <c r="A75" s="18" t="n"/>
      <c r="B75" s="19" t="n"/>
      <c r="C75" s="20" t="n"/>
      <c r="D75" s="20" t="n"/>
      <c r="E75" s="18" t="n"/>
      <c r="F75" s="21" t="n"/>
      <c r="G75" s="32" t="n"/>
      <c r="H75" s="32" t="n"/>
      <c r="I75" s="32" t="n"/>
      <c r="J75" s="32" t="n"/>
      <c r="K75" s="32" t="n"/>
      <c r="L75" s="32" t="n"/>
      <c r="M75" s="18" t="n"/>
      <c r="N75" s="23">
        <f>IF($M75="","",IFERROR(VLOOKUP($M75,Recursos!$A$6:$H$105,3,FALSE),"Código no encontrado"))</f>
        <v/>
      </c>
      <c r="O75" s="24">
        <f>IF($M75="","",IFERROR(VLOOKUP($M75,Recursos!$A$6:$H$105,2,FALSE),""))</f>
        <v/>
      </c>
      <c r="P75" s="25" t="n"/>
      <c r="Q75" s="24">
        <f>IF($M75="","",IFERROR(VLOOKUP($M75,Recursos!$A$6:$H$105,5,FALSE),""))</f>
        <v/>
      </c>
      <c r="R75" s="26">
        <f>IF($M75="","",IFERROR(VLOOKUP($M75,Recursos!$A$6:$H$105,4,FALSE),""))</f>
        <v/>
      </c>
      <c r="S75" s="27">
        <f>IF($M75="","",IFERROR(VLOOKUP($M75,Recursos!$A$6:$H$105,6,FALSE),""))</f>
        <v/>
      </c>
      <c r="T75" s="27">
        <f>IF(OR($P75="",$S75=""),"",ROUND($P75*$S75,2))</f>
        <v/>
      </c>
      <c r="U75" s="18" t="n"/>
      <c r="V75" s="18" t="n"/>
      <c r="W75" s="18" t="n"/>
      <c r="X75" s="25" t="n"/>
      <c r="Y75" s="25" t="n"/>
      <c r="Z75" s="32" t="n"/>
      <c r="AA75" s="32" t="n"/>
      <c r="AB75" s="18" t="n"/>
      <c r="AC75" s="20" t="n"/>
      <c r="AD75" s="26">
        <f>IF($P75="","",MAX(0,$P75-N($X75)))</f>
        <v/>
      </c>
      <c r="AE75" s="23">
        <f>IF($A75="","",IF($M75="","Falta recurso",IF(IFERROR(VLOOKUP($M75,Recursos!$A$6:$H$105,7,FALSE),"No")&lt;&gt;"Sí","Recurso no activo",IF(OR($B75="",$H75="",$L75=""),"Faltan fecha u horarios",IF(OR($G75&gt;$H75,$H75&gt;$I75,$I75&gt;$J75,$J75&gt;$K75,$K75&gt;$L75),"Revisar secuencia horaria",IF(SUMPRODUCT(($B$6:$B$205=$B75)*($M$6:$M$205=$M75)*($H$6:$H$205&lt;$L75)*($L$6:$L$205&gt;$H75)*N($P$6:$P$205))&gt;N($R75),"Stock insuficiente",IF(AND($U75&lt;&gt;"",SUMPRODUCT(($B$6:$B$205=$B75)*($U$6:$U$205=$U75)*($A$6:$A$205&lt;&gt;$A75)*($H$6:$H$205&lt;$L75)*($L$6:$L$205&gt;$H75))&gt;0),"Vehículo solapado",IF(AND($Z75&lt;&gt;"",$J75&lt;&gt;"",$Z75&gt;$J75),"Entrega fuera de ventana",IF(AND($W75="Devuelto",N($Y75)&lt;N($X75)),"Devolución incompleta","")))))))))</f>
        <v/>
      </c>
      <c r="AF75" s="24">
        <f>IF($A75="","",IF(OR($B75="",$C75="",$D75="",$E75="",$H75="",$I75="",$J75="",$L75="",$M75="",$P75="",$U75="",$V75="",$W75=""),"Revisar",IF($AE75&lt;&gt;"","Revisar","Correcto")))</f>
        <v/>
      </c>
    </row>
    <row r="76">
      <c r="A76" s="18" t="n"/>
      <c r="B76" s="19" t="n"/>
      <c r="C76" s="20" t="n"/>
      <c r="D76" s="20" t="n"/>
      <c r="E76" s="18" t="n"/>
      <c r="F76" s="21" t="n"/>
      <c r="G76" s="32" t="n"/>
      <c r="H76" s="32" t="n"/>
      <c r="I76" s="32" t="n"/>
      <c r="J76" s="32" t="n"/>
      <c r="K76" s="32" t="n"/>
      <c r="L76" s="32" t="n"/>
      <c r="M76" s="18" t="n"/>
      <c r="N76" s="23">
        <f>IF($M76="","",IFERROR(VLOOKUP($M76,Recursos!$A$6:$H$105,3,FALSE),"Código no encontrado"))</f>
        <v/>
      </c>
      <c r="O76" s="24">
        <f>IF($M76="","",IFERROR(VLOOKUP($M76,Recursos!$A$6:$H$105,2,FALSE),""))</f>
        <v/>
      </c>
      <c r="P76" s="25" t="n"/>
      <c r="Q76" s="24">
        <f>IF($M76="","",IFERROR(VLOOKUP($M76,Recursos!$A$6:$H$105,5,FALSE),""))</f>
        <v/>
      </c>
      <c r="R76" s="26">
        <f>IF($M76="","",IFERROR(VLOOKUP($M76,Recursos!$A$6:$H$105,4,FALSE),""))</f>
        <v/>
      </c>
      <c r="S76" s="27">
        <f>IF($M76="","",IFERROR(VLOOKUP($M76,Recursos!$A$6:$H$105,6,FALSE),""))</f>
        <v/>
      </c>
      <c r="T76" s="27">
        <f>IF(OR($P76="",$S76=""),"",ROUND($P76*$S76,2))</f>
        <v/>
      </c>
      <c r="U76" s="18" t="n"/>
      <c r="V76" s="18" t="n"/>
      <c r="W76" s="18" t="n"/>
      <c r="X76" s="25" t="n"/>
      <c r="Y76" s="25" t="n"/>
      <c r="Z76" s="32" t="n"/>
      <c r="AA76" s="32" t="n"/>
      <c r="AB76" s="18" t="n"/>
      <c r="AC76" s="20" t="n"/>
      <c r="AD76" s="26">
        <f>IF($P76="","",MAX(0,$P76-N($X76)))</f>
        <v/>
      </c>
      <c r="AE76" s="23">
        <f>IF($A76="","",IF($M76="","Falta recurso",IF(IFERROR(VLOOKUP($M76,Recursos!$A$6:$H$105,7,FALSE),"No")&lt;&gt;"Sí","Recurso no activo",IF(OR($B76="",$H76="",$L76=""),"Faltan fecha u horarios",IF(OR($G76&gt;$H76,$H76&gt;$I76,$I76&gt;$J76,$J76&gt;$K76,$K76&gt;$L76),"Revisar secuencia horaria",IF(SUMPRODUCT(($B$6:$B$205=$B76)*($M$6:$M$205=$M76)*($H$6:$H$205&lt;$L76)*($L$6:$L$205&gt;$H76)*N($P$6:$P$205))&gt;N($R76),"Stock insuficiente",IF(AND($U76&lt;&gt;"",SUMPRODUCT(($B$6:$B$205=$B76)*($U$6:$U$205=$U76)*($A$6:$A$205&lt;&gt;$A76)*($H$6:$H$205&lt;$L76)*($L$6:$L$205&gt;$H76))&gt;0),"Vehículo solapado",IF(AND($Z76&lt;&gt;"",$J76&lt;&gt;"",$Z76&gt;$J76),"Entrega fuera de ventana",IF(AND($W76="Devuelto",N($Y76)&lt;N($X76)),"Devolución incompleta","")))))))))</f>
        <v/>
      </c>
      <c r="AF76" s="24">
        <f>IF($A76="","",IF(OR($B76="",$C76="",$D76="",$E76="",$H76="",$I76="",$J76="",$L76="",$M76="",$P76="",$U76="",$V76="",$W76=""),"Revisar",IF($AE76&lt;&gt;"","Revisar","Correcto")))</f>
        <v/>
      </c>
    </row>
    <row r="77">
      <c r="A77" s="18" t="n"/>
      <c r="B77" s="19" t="n"/>
      <c r="C77" s="20" t="n"/>
      <c r="D77" s="20" t="n"/>
      <c r="E77" s="18" t="n"/>
      <c r="F77" s="21" t="n"/>
      <c r="G77" s="32" t="n"/>
      <c r="H77" s="32" t="n"/>
      <c r="I77" s="32" t="n"/>
      <c r="J77" s="32" t="n"/>
      <c r="K77" s="32" t="n"/>
      <c r="L77" s="32" t="n"/>
      <c r="M77" s="18" t="n"/>
      <c r="N77" s="23">
        <f>IF($M77="","",IFERROR(VLOOKUP($M77,Recursos!$A$6:$H$105,3,FALSE),"Código no encontrado"))</f>
        <v/>
      </c>
      <c r="O77" s="24">
        <f>IF($M77="","",IFERROR(VLOOKUP($M77,Recursos!$A$6:$H$105,2,FALSE),""))</f>
        <v/>
      </c>
      <c r="P77" s="25" t="n"/>
      <c r="Q77" s="24">
        <f>IF($M77="","",IFERROR(VLOOKUP($M77,Recursos!$A$6:$H$105,5,FALSE),""))</f>
        <v/>
      </c>
      <c r="R77" s="26">
        <f>IF($M77="","",IFERROR(VLOOKUP($M77,Recursos!$A$6:$H$105,4,FALSE),""))</f>
        <v/>
      </c>
      <c r="S77" s="27">
        <f>IF($M77="","",IFERROR(VLOOKUP($M77,Recursos!$A$6:$H$105,6,FALSE),""))</f>
        <v/>
      </c>
      <c r="T77" s="27">
        <f>IF(OR($P77="",$S77=""),"",ROUND($P77*$S77,2))</f>
        <v/>
      </c>
      <c r="U77" s="18" t="n"/>
      <c r="V77" s="18" t="n"/>
      <c r="W77" s="18" t="n"/>
      <c r="X77" s="25" t="n"/>
      <c r="Y77" s="25" t="n"/>
      <c r="Z77" s="32" t="n"/>
      <c r="AA77" s="32" t="n"/>
      <c r="AB77" s="18" t="n"/>
      <c r="AC77" s="20" t="n"/>
      <c r="AD77" s="26">
        <f>IF($P77="","",MAX(0,$P77-N($X77)))</f>
        <v/>
      </c>
      <c r="AE77" s="23">
        <f>IF($A77="","",IF($M77="","Falta recurso",IF(IFERROR(VLOOKUP($M77,Recursos!$A$6:$H$105,7,FALSE),"No")&lt;&gt;"Sí","Recurso no activo",IF(OR($B77="",$H77="",$L77=""),"Faltan fecha u horarios",IF(OR($G77&gt;$H77,$H77&gt;$I77,$I77&gt;$J77,$J77&gt;$K77,$K77&gt;$L77),"Revisar secuencia horaria",IF(SUMPRODUCT(($B$6:$B$205=$B77)*($M$6:$M$205=$M77)*($H$6:$H$205&lt;$L77)*($L$6:$L$205&gt;$H77)*N($P$6:$P$205))&gt;N($R77),"Stock insuficiente",IF(AND($U77&lt;&gt;"",SUMPRODUCT(($B$6:$B$205=$B77)*($U$6:$U$205=$U77)*($A$6:$A$205&lt;&gt;$A77)*($H$6:$H$205&lt;$L77)*($L$6:$L$205&gt;$H77))&gt;0),"Vehículo solapado",IF(AND($Z77&lt;&gt;"",$J77&lt;&gt;"",$Z77&gt;$J77),"Entrega fuera de ventana",IF(AND($W77="Devuelto",N($Y77)&lt;N($X77)),"Devolución incompleta","")))))))))</f>
        <v/>
      </c>
      <c r="AF77" s="24">
        <f>IF($A77="","",IF(OR($B77="",$C77="",$D77="",$E77="",$H77="",$I77="",$J77="",$L77="",$M77="",$P77="",$U77="",$V77="",$W77=""),"Revisar",IF($AE77&lt;&gt;"","Revisar","Correcto")))</f>
        <v/>
      </c>
    </row>
    <row r="78">
      <c r="A78" s="18" t="n"/>
      <c r="B78" s="19" t="n"/>
      <c r="C78" s="20" t="n"/>
      <c r="D78" s="20" t="n"/>
      <c r="E78" s="18" t="n"/>
      <c r="F78" s="21" t="n"/>
      <c r="G78" s="32" t="n"/>
      <c r="H78" s="32" t="n"/>
      <c r="I78" s="32" t="n"/>
      <c r="J78" s="32" t="n"/>
      <c r="K78" s="32" t="n"/>
      <c r="L78" s="32" t="n"/>
      <c r="M78" s="18" t="n"/>
      <c r="N78" s="23">
        <f>IF($M78="","",IFERROR(VLOOKUP($M78,Recursos!$A$6:$H$105,3,FALSE),"Código no encontrado"))</f>
        <v/>
      </c>
      <c r="O78" s="24">
        <f>IF($M78="","",IFERROR(VLOOKUP($M78,Recursos!$A$6:$H$105,2,FALSE),""))</f>
        <v/>
      </c>
      <c r="P78" s="25" t="n"/>
      <c r="Q78" s="24">
        <f>IF($M78="","",IFERROR(VLOOKUP($M78,Recursos!$A$6:$H$105,5,FALSE),""))</f>
        <v/>
      </c>
      <c r="R78" s="26">
        <f>IF($M78="","",IFERROR(VLOOKUP($M78,Recursos!$A$6:$H$105,4,FALSE),""))</f>
        <v/>
      </c>
      <c r="S78" s="27">
        <f>IF($M78="","",IFERROR(VLOOKUP($M78,Recursos!$A$6:$H$105,6,FALSE),""))</f>
        <v/>
      </c>
      <c r="T78" s="27">
        <f>IF(OR($P78="",$S78=""),"",ROUND($P78*$S78,2))</f>
        <v/>
      </c>
      <c r="U78" s="18" t="n"/>
      <c r="V78" s="18" t="n"/>
      <c r="W78" s="18" t="n"/>
      <c r="X78" s="25" t="n"/>
      <c r="Y78" s="25" t="n"/>
      <c r="Z78" s="32" t="n"/>
      <c r="AA78" s="32" t="n"/>
      <c r="AB78" s="18" t="n"/>
      <c r="AC78" s="20" t="n"/>
      <c r="AD78" s="26">
        <f>IF($P78="","",MAX(0,$P78-N($X78)))</f>
        <v/>
      </c>
      <c r="AE78" s="23">
        <f>IF($A78="","",IF($M78="","Falta recurso",IF(IFERROR(VLOOKUP($M78,Recursos!$A$6:$H$105,7,FALSE),"No")&lt;&gt;"Sí","Recurso no activo",IF(OR($B78="",$H78="",$L78=""),"Faltan fecha u horarios",IF(OR($G78&gt;$H78,$H78&gt;$I78,$I78&gt;$J78,$J78&gt;$K78,$K78&gt;$L78),"Revisar secuencia horaria",IF(SUMPRODUCT(($B$6:$B$205=$B78)*($M$6:$M$205=$M78)*($H$6:$H$205&lt;$L78)*($L$6:$L$205&gt;$H78)*N($P$6:$P$205))&gt;N($R78),"Stock insuficiente",IF(AND($U78&lt;&gt;"",SUMPRODUCT(($B$6:$B$205=$B78)*($U$6:$U$205=$U78)*($A$6:$A$205&lt;&gt;$A78)*($H$6:$H$205&lt;$L78)*($L$6:$L$205&gt;$H78))&gt;0),"Vehículo solapado",IF(AND($Z78&lt;&gt;"",$J78&lt;&gt;"",$Z78&gt;$J78),"Entrega fuera de ventana",IF(AND($W78="Devuelto",N($Y78)&lt;N($X78)),"Devolución incompleta","")))))))))</f>
        <v/>
      </c>
      <c r="AF78" s="24">
        <f>IF($A78="","",IF(OR($B78="",$C78="",$D78="",$E78="",$H78="",$I78="",$J78="",$L78="",$M78="",$P78="",$U78="",$V78="",$W78=""),"Revisar",IF($AE78&lt;&gt;"","Revisar","Correcto")))</f>
        <v/>
      </c>
    </row>
    <row r="79">
      <c r="A79" s="18" t="n"/>
      <c r="B79" s="19" t="n"/>
      <c r="C79" s="20" t="n"/>
      <c r="D79" s="20" t="n"/>
      <c r="E79" s="18" t="n"/>
      <c r="F79" s="21" t="n"/>
      <c r="G79" s="32" t="n"/>
      <c r="H79" s="32" t="n"/>
      <c r="I79" s="32" t="n"/>
      <c r="J79" s="32" t="n"/>
      <c r="K79" s="32" t="n"/>
      <c r="L79" s="32" t="n"/>
      <c r="M79" s="18" t="n"/>
      <c r="N79" s="23">
        <f>IF($M79="","",IFERROR(VLOOKUP($M79,Recursos!$A$6:$H$105,3,FALSE),"Código no encontrado"))</f>
        <v/>
      </c>
      <c r="O79" s="24">
        <f>IF($M79="","",IFERROR(VLOOKUP($M79,Recursos!$A$6:$H$105,2,FALSE),""))</f>
        <v/>
      </c>
      <c r="P79" s="25" t="n"/>
      <c r="Q79" s="24">
        <f>IF($M79="","",IFERROR(VLOOKUP($M79,Recursos!$A$6:$H$105,5,FALSE),""))</f>
        <v/>
      </c>
      <c r="R79" s="26">
        <f>IF($M79="","",IFERROR(VLOOKUP($M79,Recursos!$A$6:$H$105,4,FALSE),""))</f>
        <v/>
      </c>
      <c r="S79" s="27">
        <f>IF($M79="","",IFERROR(VLOOKUP($M79,Recursos!$A$6:$H$105,6,FALSE),""))</f>
        <v/>
      </c>
      <c r="T79" s="27">
        <f>IF(OR($P79="",$S79=""),"",ROUND($P79*$S79,2))</f>
        <v/>
      </c>
      <c r="U79" s="18" t="n"/>
      <c r="V79" s="18" t="n"/>
      <c r="W79" s="18" t="n"/>
      <c r="X79" s="25" t="n"/>
      <c r="Y79" s="25" t="n"/>
      <c r="Z79" s="32" t="n"/>
      <c r="AA79" s="32" t="n"/>
      <c r="AB79" s="18" t="n"/>
      <c r="AC79" s="20" t="n"/>
      <c r="AD79" s="26">
        <f>IF($P79="","",MAX(0,$P79-N($X79)))</f>
        <v/>
      </c>
      <c r="AE79" s="23">
        <f>IF($A79="","",IF($M79="","Falta recurso",IF(IFERROR(VLOOKUP($M79,Recursos!$A$6:$H$105,7,FALSE),"No")&lt;&gt;"Sí","Recurso no activo",IF(OR($B79="",$H79="",$L79=""),"Faltan fecha u horarios",IF(OR($G79&gt;$H79,$H79&gt;$I79,$I79&gt;$J79,$J79&gt;$K79,$K79&gt;$L79),"Revisar secuencia horaria",IF(SUMPRODUCT(($B$6:$B$205=$B79)*($M$6:$M$205=$M79)*($H$6:$H$205&lt;$L79)*($L$6:$L$205&gt;$H79)*N($P$6:$P$205))&gt;N($R79),"Stock insuficiente",IF(AND($U79&lt;&gt;"",SUMPRODUCT(($B$6:$B$205=$B79)*($U$6:$U$205=$U79)*($A$6:$A$205&lt;&gt;$A79)*($H$6:$H$205&lt;$L79)*($L$6:$L$205&gt;$H79))&gt;0),"Vehículo solapado",IF(AND($Z79&lt;&gt;"",$J79&lt;&gt;"",$Z79&gt;$J79),"Entrega fuera de ventana",IF(AND($W79="Devuelto",N($Y79)&lt;N($X79)),"Devolución incompleta","")))))))))</f>
        <v/>
      </c>
      <c r="AF79" s="24">
        <f>IF($A79="","",IF(OR($B79="",$C79="",$D79="",$E79="",$H79="",$I79="",$J79="",$L79="",$M79="",$P79="",$U79="",$V79="",$W79=""),"Revisar",IF($AE79&lt;&gt;"","Revisar","Correcto")))</f>
        <v/>
      </c>
    </row>
    <row r="80">
      <c r="A80" s="18" t="n"/>
      <c r="B80" s="19" t="n"/>
      <c r="C80" s="20" t="n"/>
      <c r="D80" s="20" t="n"/>
      <c r="E80" s="18" t="n"/>
      <c r="F80" s="21" t="n"/>
      <c r="G80" s="32" t="n"/>
      <c r="H80" s="32" t="n"/>
      <c r="I80" s="32" t="n"/>
      <c r="J80" s="32" t="n"/>
      <c r="K80" s="32" t="n"/>
      <c r="L80" s="32" t="n"/>
      <c r="M80" s="18" t="n"/>
      <c r="N80" s="23">
        <f>IF($M80="","",IFERROR(VLOOKUP($M80,Recursos!$A$6:$H$105,3,FALSE),"Código no encontrado"))</f>
        <v/>
      </c>
      <c r="O80" s="24">
        <f>IF($M80="","",IFERROR(VLOOKUP($M80,Recursos!$A$6:$H$105,2,FALSE),""))</f>
        <v/>
      </c>
      <c r="P80" s="25" t="n"/>
      <c r="Q80" s="24">
        <f>IF($M80="","",IFERROR(VLOOKUP($M80,Recursos!$A$6:$H$105,5,FALSE),""))</f>
        <v/>
      </c>
      <c r="R80" s="26">
        <f>IF($M80="","",IFERROR(VLOOKUP($M80,Recursos!$A$6:$H$105,4,FALSE),""))</f>
        <v/>
      </c>
      <c r="S80" s="27">
        <f>IF($M80="","",IFERROR(VLOOKUP($M80,Recursos!$A$6:$H$105,6,FALSE),""))</f>
        <v/>
      </c>
      <c r="T80" s="27">
        <f>IF(OR($P80="",$S80=""),"",ROUND($P80*$S80,2))</f>
        <v/>
      </c>
      <c r="U80" s="18" t="n"/>
      <c r="V80" s="18" t="n"/>
      <c r="W80" s="18" t="n"/>
      <c r="X80" s="25" t="n"/>
      <c r="Y80" s="25" t="n"/>
      <c r="Z80" s="32" t="n"/>
      <c r="AA80" s="32" t="n"/>
      <c r="AB80" s="18" t="n"/>
      <c r="AC80" s="20" t="n"/>
      <c r="AD80" s="26">
        <f>IF($P80="","",MAX(0,$P80-N($X80)))</f>
        <v/>
      </c>
      <c r="AE80" s="23">
        <f>IF($A80="","",IF($M80="","Falta recurso",IF(IFERROR(VLOOKUP($M80,Recursos!$A$6:$H$105,7,FALSE),"No")&lt;&gt;"Sí","Recurso no activo",IF(OR($B80="",$H80="",$L80=""),"Faltan fecha u horarios",IF(OR($G80&gt;$H80,$H80&gt;$I80,$I80&gt;$J80,$J80&gt;$K80,$K80&gt;$L80),"Revisar secuencia horaria",IF(SUMPRODUCT(($B$6:$B$205=$B80)*($M$6:$M$205=$M80)*($H$6:$H$205&lt;$L80)*($L$6:$L$205&gt;$H80)*N($P$6:$P$205))&gt;N($R80),"Stock insuficiente",IF(AND($U80&lt;&gt;"",SUMPRODUCT(($B$6:$B$205=$B80)*($U$6:$U$205=$U80)*($A$6:$A$205&lt;&gt;$A80)*($H$6:$H$205&lt;$L80)*($L$6:$L$205&gt;$H80))&gt;0),"Vehículo solapado",IF(AND($Z80&lt;&gt;"",$J80&lt;&gt;"",$Z80&gt;$J80),"Entrega fuera de ventana",IF(AND($W80="Devuelto",N($Y80)&lt;N($X80)),"Devolución incompleta","")))))))))</f>
        <v/>
      </c>
      <c r="AF80" s="24">
        <f>IF($A80="","",IF(OR($B80="",$C80="",$D80="",$E80="",$H80="",$I80="",$J80="",$L80="",$M80="",$P80="",$U80="",$V80="",$W80=""),"Revisar",IF($AE80&lt;&gt;"","Revisar","Correcto")))</f>
        <v/>
      </c>
    </row>
    <row r="81">
      <c r="A81" s="18" t="n"/>
      <c r="B81" s="19" t="n"/>
      <c r="C81" s="20" t="n"/>
      <c r="D81" s="20" t="n"/>
      <c r="E81" s="18" t="n"/>
      <c r="F81" s="21" t="n"/>
      <c r="G81" s="32" t="n"/>
      <c r="H81" s="32" t="n"/>
      <c r="I81" s="32" t="n"/>
      <c r="J81" s="32" t="n"/>
      <c r="K81" s="32" t="n"/>
      <c r="L81" s="32" t="n"/>
      <c r="M81" s="18" t="n"/>
      <c r="N81" s="23">
        <f>IF($M81="","",IFERROR(VLOOKUP($M81,Recursos!$A$6:$H$105,3,FALSE),"Código no encontrado"))</f>
        <v/>
      </c>
      <c r="O81" s="24">
        <f>IF($M81="","",IFERROR(VLOOKUP($M81,Recursos!$A$6:$H$105,2,FALSE),""))</f>
        <v/>
      </c>
      <c r="P81" s="25" t="n"/>
      <c r="Q81" s="24">
        <f>IF($M81="","",IFERROR(VLOOKUP($M81,Recursos!$A$6:$H$105,5,FALSE),""))</f>
        <v/>
      </c>
      <c r="R81" s="26">
        <f>IF($M81="","",IFERROR(VLOOKUP($M81,Recursos!$A$6:$H$105,4,FALSE),""))</f>
        <v/>
      </c>
      <c r="S81" s="27">
        <f>IF($M81="","",IFERROR(VLOOKUP($M81,Recursos!$A$6:$H$105,6,FALSE),""))</f>
        <v/>
      </c>
      <c r="T81" s="27">
        <f>IF(OR($P81="",$S81=""),"",ROUND($P81*$S81,2))</f>
        <v/>
      </c>
      <c r="U81" s="18" t="n"/>
      <c r="V81" s="18" t="n"/>
      <c r="W81" s="18" t="n"/>
      <c r="X81" s="25" t="n"/>
      <c r="Y81" s="25" t="n"/>
      <c r="Z81" s="32" t="n"/>
      <c r="AA81" s="32" t="n"/>
      <c r="AB81" s="18" t="n"/>
      <c r="AC81" s="20" t="n"/>
      <c r="AD81" s="26">
        <f>IF($P81="","",MAX(0,$P81-N($X81)))</f>
        <v/>
      </c>
      <c r="AE81" s="23">
        <f>IF($A81="","",IF($M81="","Falta recurso",IF(IFERROR(VLOOKUP($M81,Recursos!$A$6:$H$105,7,FALSE),"No")&lt;&gt;"Sí","Recurso no activo",IF(OR($B81="",$H81="",$L81=""),"Faltan fecha u horarios",IF(OR($G81&gt;$H81,$H81&gt;$I81,$I81&gt;$J81,$J81&gt;$K81,$K81&gt;$L81),"Revisar secuencia horaria",IF(SUMPRODUCT(($B$6:$B$205=$B81)*($M$6:$M$205=$M81)*($H$6:$H$205&lt;$L81)*($L$6:$L$205&gt;$H81)*N($P$6:$P$205))&gt;N($R81),"Stock insuficiente",IF(AND($U81&lt;&gt;"",SUMPRODUCT(($B$6:$B$205=$B81)*($U$6:$U$205=$U81)*($A$6:$A$205&lt;&gt;$A81)*($H$6:$H$205&lt;$L81)*($L$6:$L$205&gt;$H81))&gt;0),"Vehículo solapado",IF(AND($Z81&lt;&gt;"",$J81&lt;&gt;"",$Z81&gt;$J81),"Entrega fuera de ventana",IF(AND($W81="Devuelto",N($Y81)&lt;N($X81)),"Devolución incompleta","")))))))))</f>
        <v/>
      </c>
      <c r="AF81" s="24">
        <f>IF($A81="","",IF(OR($B81="",$C81="",$D81="",$E81="",$H81="",$I81="",$J81="",$L81="",$M81="",$P81="",$U81="",$V81="",$W81=""),"Revisar",IF($AE81&lt;&gt;"","Revisar","Correcto")))</f>
        <v/>
      </c>
    </row>
    <row r="82">
      <c r="A82" s="18" t="n"/>
      <c r="B82" s="19" t="n"/>
      <c r="C82" s="20" t="n"/>
      <c r="D82" s="20" t="n"/>
      <c r="E82" s="18" t="n"/>
      <c r="F82" s="21" t="n"/>
      <c r="G82" s="32" t="n"/>
      <c r="H82" s="32" t="n"/>
      <c r="I82" s="32" t="n"/>
      <c r="J82" s="32" t="n"/>
      <c r="K82" s="32" t="n"/>
      <c r="L82" s="32" t="n"/>
      <c r="M82" s="18" t="n"/>
      <c r="N82" s="23">
        <f>IF($M82="","",IFERROR(VLOOKUP($M82,Recursos!$A$6:$H$105,3,FALSE),"Código no encontrado"))</f>
        <v/>
      </c>
      <c r="O82" s="24">
        <f>IF($M82="","",IFERROR(VLOOKUP($M82,Recursos!$A$6:$H$105,2,FALSE),""))</f>
        <v/>
      </c>
      <c r="P82" s="25" t="n"/>
      <c r="Q82" s="24">
        <f>IF($M82="","",IFERROR(VLOOKUP($M82,Recursos!$A$6:$H$105,5,FALSE),""))</f>
        <v/>
      </c>
      <c r="R82" s="26">
        <f>IF($M82="","",IFERROR(VLOOKUP($M82,Recursos!$A$6:$H$105,4,FALSE),""))</f>
        <v/>
      </c>
      <c r="S82" s="27">
        <f>IF($M82="","",IFERROR(VLOOKUP($M82,Recursos!$A$6:$H$105,6,FALSE),""))</f>
        <v/>
      </c>
      <c r="T82" s="27">
        <f>IF(OR($P82="",$S82=""),"",ROUND($P82*$S82,2))</f>
        <v/>
      </c>
      <c r="U82" s="18" t="n"/>
      <c r="V82" s="18" t="n"/>
      <c r="W82" s="18" t="n"/>
      <c r="X82" s="25" t="n"/>
      <c r="Y82" s="25" t="n"/>
      <c r="Z82" s="32" t="n"/>
      <c r="AA82" s="32" t="n"/>
      <c r="AB82" s="18" t="n"/>
      <c r="AC82" s="20" t="n"/>
      <c r="AD82" s="26">
        <f>IF($P82="","",MAX(0,$P82-N($X82)))</f>
        <v/>
      </c>
      <c r="AE82" s="23">
        <f>IF($A82="","",IF($M82="","Falta recurso",IF(IFERROR(VLOOKUP($M82,Recursos!$A$6:$H$105,7,FALSE),"No")&lt;&gt;"Sí","Recurso no activo",IF(OR($B82="",$H82="",$L82=""),"Faltan fecha u horarios",IF(OR($G82&gt;$H82,$H82&gt;$I82,$I82&gt;$J82,$J82&gt;$K82,$K82&gt;$L82),"Revisar secuencia horaria",IF(SUMPRODUCT(($B$6:$B$205=$B82)*($M$6:$M$205=$M82)*($H$6:$H$205&lt;$L82)*($L$6:$L$205&gt;$H82)*N($P$6:$P$205))&gt;N($R82),"Stock insuficiente",IF(AND($U82&lt;&gt;"",SUMPRODUCT(($B$6:$B$205=$B82)*($U$6:$U$205=$U82)*($A$6:$A$205&lt;&gt;$A82)*($H$6:$H$205&lt;$L82)*($L$6:$L$205&gt;$H82))&gt;0),"Vehículo solapado",IF(AND($Z82&lt;&gt;"",$J82&lt;&gt;"",$Z82&gt;$J82),"Entrega fuera de ventana",IF(AND($W82="Devuelto",N($Y82)&lt;N($X82)),"Devolución incompleta","")))))))))</f>
        <v/>
      </c>
      <c r="AF82" s="24">
        <f>IF($A82="","",IF(OR($B82="",$C82="",$D82="",$E82="",$H82="",$I82="",$J82="",$L82="",$M82="",$P82="",$U82="",$V82="",$W82=""),"Revisar",IF($AE82&lt;&gt;"","Revisar","Correcto")))</f>
        <v/>
      </c>
    </row>
    <row r="83">
      <c r="A83" s="18" t="n"/>
      <c r="B83" s="19" t="n"/>
      <c r="C83" s="20" t="n"/>
      <c r="D83" s="20" t="n"/>
      <c r="E83" s="18" t="n"/>
      <c r="F83" s="21" t="n"/>
      <c r="G83" s="32" t="n"/>
      <c r="H83" s="32" t="n"/>
      <c r="I83" s="32" t="n"/>
      <c r="J83" s="32" t="n"/>
      <c r="K83" s="32" t="n"/>
      <c r="L83" s="32" t="n"/>
      <c r="M83" s="18" t="n"/>
      <c r="N83" s="23">
        <f>IF($M83="","",IFERROR(VLOOKUP($M83,Recursos!$A$6:$H$105,3,FALSE),"Código no encontrado"))</f>
        <v/>
      </c>
      <c r="O83" s="24">
        <f>IF($M83="","",IFERROR(VLOOKUP($M83,Recursos!$A$6:$H$105,2,FALSE),""))</f>
        <v/>
      </c>
      <c r="P83" s="25" t="n"/>
      <c r="Q83" s="24">
        <f>IF($M83="","",IFERROR(VLOOKUP($M83,Recursos!$A$6:$H$105,5,FALSE),""))</f>
        <v/>
      </c>
      <c r="R83" s="26">
        <f>IF($M83="","",IFERROR(VLOOKUP($M83,Recursos!$A$6:$H$105,4,FALSE),""))</f>
        <v/>
      </c>
      <c r="S83" s="27">
        <f>IF($M83="","",IFERROR(VLOOKUP($M83,Recursos!$A$6:$H$105,6,FALSE),""))</f>
        <v/>
      </c>
      <c r="T83" s="27">
        <f>IF(OR($P83="",$S83=""),"",ROUND($P83*$S83,2))</f>
        <v/>
      </c>
      <c r="U83" s="18" t="n"/>
      <c r="V83" s="18" t="n"/>
      <c r="W83" s="18" t="n"/>
      <c r="X83" s="25" t="n"/>
      <c r="Y83" s="25" t="n"/>
      <c r="Z83" s="32" t="n"/>
      <c r="AA83" s="32" t="n"/>
      <c r="AB83" s="18" t="n"/>
      <c r="AC83" s="20" t="n"/>
      <c r="AD83" s="26">
        <f>IF($P83="","",MAX(0,$P83-N($X83)))</f>
        <v/>
      </c>
      <c r="AE83" s="23">
        <f>IF($A83="","",IF($M83="","Falta recurso",IF(IFERROR(VLOOKUP($M83,Recursos!$A$6:$H$105,7,FALSE),"No")&lt;&gt;"Sí","Recurso no activo",IF(OR($B83="",$H83="",$L83=""),"Faltan fecha u horarios",IF(OR($G83&gt;$H83,$H83&gt;$I83,$I83&gt;$J83,$J83&gt;$K83,$K83&gt;$L83),"Revisar secuencia horaria",IF(SUMPRODUCT(($B$6:$B$205=$B83)*($M$6:$M$205=$M83)*($H$6:$H$205&lt;$L83)*($L$6:$L$205&gt;$H83)*N($P$6:$P$205))&gt;N($R83),"Stock insuficiente",IF(AND($U83&lt;&gt;"",SUMPRODUCT(($B$6:$B$205=$B83)*($U$6:$U$205=$U83)*($A$6:$A$205&lt;&gt;$A83)*($H$6:$H$205&lt;$L83)*($L$6:$L$205&gt;$H83))&gt;0),"Vehículo solapado",IF(AND($Z83&lt;&gt;"",$J83&lt;&gt;"",$Z83&gt;$J83),"Entrega fuera de ventana",IF(AND($W83="Devuelto",N($Y83)&lt;N($X83)),"Devolución incompleta","")))))))))</f>
        <v/>
      </c>
      <c r="AF83" s="24">
        <f>IF($A83="","",IF(OR($B83="",$C83="",$D83="",$E83="",$H83="",$I83="",$J83="",$L83="",$M83="",$P83="",$U83="",$V83="",$W83=""),"Revisar",IF($AE83&lt;&gt;"","Revisar","Correcto")))</f>
        <v/>
      </c>
    </row>
    <row r="84">
      <c r="A84" s="18" t="n"/>
      <c r="B84" s="19" t="n"/>
      <c r="C84" s="20" t="n"/>
      <c r="D84" s="20" t="n"/>
      <c r="E84" s="18" t="n"/>
      <c r="F84" s="21" t="n"/>
      <c r="G84" s="32" t="n"/>
      <c r="H84" s="32" t="n"/>
      <c r="I84" s="32" t="n"/>
      <c r="J84" s="32" t="n"/>
      <c r="K84" s="32" t="n"/>
      <c r="L84" s="32" t="n"/>
      <c r="M84" s="18" t="n"/>
      <c r="N84" s="23">
        <f>IF($M84="","",IFERROR(VLOOKUP($M84,Recursos!$A$6:$H$105,3,FALSE),"Código no encontrado"))</f>
        <v/>
      </c>
      <c r="O84" s="24">
        <f>IF($M84="","",IFERROR(VLOOKUP($M84,Recursos!$A$6:$H$105,2,FALSE),""))</f>
        <v/>
      </c>
      <c r="P84" s="25" t="n"/>
      <c r="Q84" s="24">
        <f>IF($M84="","",IFERROR(VLOOKUP($M84,Recursos!$A$6:$H$105,5,FALSE),""))</f>
        <v/>
      </c>
      <c r="R84" s="26">
        <f>IF($M84="","",IFERROR(VLOOKUP($M84,Recursos!$A$6:$H$105,4,FALSE),""))</f>
        <v/>
      </c>
      <c r="S84" s="27">
        <f>IF($M84="","",IFERROR(VLOOKUP($M84,Recursos!$A$6:$H$105,6,FALSE),""))</f>
        <v/>
      </c>
      <c r="T84" s="27">
        <f>IF(OR($P84="",$S84=""),"",ROUND($P84*$S84,2))</f>
        <v/>
      </c>
      <c r="U84" s="18" t="n"/>
      <c r="V84" s="18" t="n"/>
      <c r="W84" s="18" t="n"/>
      <c r="X84" s="25" t="n"/>
      <c r="Y84" s="25" t="n"/>
      <c r="Z84" s="32" t="n"/>
      <c r="AA84" s="32" t="n"/>
      <c r="AB84" s="18" t="n"/>
      <c r="AC84" s="20" t="n"/>
      <c r="AD84" s="26">
        <f>IF($P84="","",MAX(0,$P84-N($X84)))</f>
        <v/>
      </c>
      <c r="AE84" s="23">
        <f>IF($A84="","",IF($M84="","Falta recurso",IF(IFERROR(VLOOKUP($M84,Recursos!$A$6:$H$105,7,FALSE),"No")&lt;&gt;"Sí","Recurso no activo",IF(OR($B84="",$H84="",$L84=""),"Faltan fecha u horarios",IF(OR($G84&gt;$H84,$H84&gt;$I84,$I84&gt;$J84,$J84&gt;$K84,$K84&gt;$L84),"Revisar secuencia horaria",IF(SUMPRODUCT(($B$6:$B$205=$B84)*($M$6:$M$205=$M84)*($H$6:$H$205&lt;$L84)*($L$6:$L$205&gt;$H84)*N($P$6:$P$205))&gt;N($R84),"Stock insuficiente",IF(AND($U84&lt;&gt;"",SUMPRODUCT(($B$6:$B$205=$B84)*($U$6:$U$205=$U84)*($A$6:$A$205&lt;&gt;$A84)*($H$6:$H$205&lt;$L84)*($L$6:$L$205&gt;$H84))&gt;0),"Vehículo solapado",IF(AND($Z84&lt;&gt;"",$J84&lt;&gt;"",$Z84&gt;$J84),"Entrega fuera de ventana",IF(AND($W84="Devuelto",N($Y84)&lt;N($X84)),"Devolución incompleta","")))))))))</f>
        <v/>
      </c>
      <c r="AF84" s="24">
        <f>IF($A84="","",IF(OR($B84="",$C84="",$D84="",$E84="",$H84="",$I84="",$J84="",$L84="",$M84="",$P84="",$U84="",$V84="",$W84=""),"Revisar",IF($AE84&lt;&gt;"","Revisar","Correcto")))</f>
        <v/>
      </c>
    </row>
    <row r="85">
      <c r="A85" s="18" t="n"/>
      <c r="B85" s="19" t="n"/>
      <c r="C85" s="20" t="n"/>
      <c r="D85" s="20" t="n"/>
      <c r="E85" s="18" t="n"/>
      <c r="F85" s="21" t="n"/>
      <c r="G85" s="32" t="n"/>
      <c r="H85" s="32" t="n"/>
      <c r="I85" s="32" t="n"/>
      <c r="J85" s="32" t="n"/>
      <c r="K85" s="32" t="n"/>
      <c r="L85" s="32" t="n"/>
      <c r="M85" s="18" t="n"/>
      <c r="N85" s="23">
        <f>IF($M85="","",IFERROR(VLOOKUP($M85,Recursos!$A$6:$H$105,3,FALSE),"Código no encontrado"))</f>
        <v/>
      </c>
      <c r="O85" s="24">
        <f>IF($M85="","",IFERROR(VLOOKUP($M85,Recursos!$A$6:$H$105,2,FALSE),""))</f>
        <v/>
      </c>
      <c r="P85" s="25" t="n"/>
      <c r="Q85" s="24">
        <f>IF($M85="","",IFERROR(VLOOKUP($M85,Recursos!$A$6:$H$105,5,FALSE),""))</f>
        <v/>
      </c>
      <c r="R85" s="26">
        <f>IF($M85="","",IFERROR(VLOOKUP($M85,Recursos!$A$6:$H$105,4,FALSE),""))</f>
        <v/>
      </c>
      <c r="S85" s="27">
        <f>IF($M85="","",IFERROR(VLOOKUP($M85,Recursos!$A$6:$H$105,6,FALSE),""))</f>
        <v/>
      </c>
      <c r="T85" s="27">
        <f>IF(OR($P85="",$S85=""),"",ROUND($P85*$S85,2))</f>
        <v/>
      </c>
      <c r="U85" s="18" t="n"/>
      <c r="V85" s="18" t="n"/>
      <c r="W85" s="18" t="n"/>
      <c r="X85" s="25" t="n"/>
      <c r="Y85" s="25" t="n"/>
      <c r="Z85" s="32" t="n"/>
      <c r="AA85" s="32" t="n"/>
      <c r="AB85" s="18" t="n"/>
      <c r="AC85" s="20" t="n"/>
      <c r="AD85" s="26">
        <f>IF($P85="","",MAX(0,$P85-N($X85)))</f>
        <v/>
      </c>
      <c r="AE85" s="23">
        <f>IF($A85="","",IF($M85="","Falta recurso",IF(IFERROR(VLOOKUP($M85,Recursos!$A$6:$H$105,7,FALSE),"No")&lt;&gt;"Sí","Recurso no activo",IF(OR($B85="",$H85="",$L85=""),"Faltan fecha u horarios",IF(OR($G85&gt;$H85,$H85&gt;$I85,$I85&gt;$J85,$J85&gt;$K85,$K85&gt;$L85),"Revisar secuencia horaria",IF(SUMPRODUCT(($B$6:$B$205=$B85)*($M$6:$M$205=$M85)*($H$6:$H$205&lt;$L85)*($L$6:$L$205&gt;$H85)*N($P$6:$P$205))&gt;N($R85),"Stock insuficiente",IF(AND($U85&lt;&gt;"",SUMPRODUCT(($B$6:$B$205=$B85)*($U$6:$U$205=$U85)*($A$6:$A$205&lt;&gt;$A85)*($H$6:$H$205&lt;$L85)*($L$6:$L$205&gt;$H85))&gt;0),"Vehículo solapado",IF(AND($Z85&lt;&gt;"",$J85&lt;&gt;"",$Z85&gt;$J85),"Entrega fuera de ventana",IF(AND($W85="Devuelto",N($Y85)&lt;N($X85)),"Devolución incompleta","")))))))))</f>
        <v/>
      </c>
      <c r="AF85" s="24">
        <f>IF($A85="","",IF(OR($B85="",$C85="",$D85="",$E85="",$H85="",$I85="",$J85="",$L85="",$M85="",$P85="",$U85="",$V85="",$W85=""),"Revisar",IF($AE85&lt;&gt;"","Revisar","Correcto")))</f>
        <v/>
      </c>
    </row>
    <row r="86">
      <c r="A86" s="18" t="n"/>
      <c r="B86" s="19" t="n"/>
      <c r="C86" s="20" t="n"/>
      <c r="D86" s="20" t="n"/>
      <c r="E86" s="18" t="n"/>
      <c r="F86" s="21" t="n"/>
      <c r="G86" s="32" t="n"/>
      <c r="H86" s="32" t="n"/>
      <c r="I86" s="32" t="n"/>
      <c r="J86" s="32" t="n"/>
      <c r="K86" s="32" t="n"/>
      <c r="L86" s="32" t="n"/>
      <c r="M86" s="18" t="n"/>
      <c r="N86" s="23">
        <f>IF($M86="","",IFERROR(VLOOKUP($M86,Recursos!$A$6:$H$105,3,FALSE),"Código no encontrado"))</f>
        <v/>
      </c>
      <c r="O86" s="24">
        <f>IF($M86="","",IFERROR(VLOOKUP($M86,Recursos!$A$6:$H$105,2,FALSE),""))</f>
        <v/>
      </c>
      <c r="P86" s="25" t="n"/>
      <c r="Q86" s="24">
        <f>IF($M86="","",IFERROR(VLOOKUP($M86,Recursos!$A$6:$H$105,5,FALSE),""))</f>
        <v/>
      </c>
      <c r="R86" s="26">
        <f>IF($M86="","",IFERROR(VLOOKUP($M86,Recursos!$A$6:$H$105,4,FALSE),""))</f>
        <v/>
      </c>
      <c r="S86" s="27">
        <f>IF($M86="","",IFERROR(VLOOKUP($M86,Recursos!$A$6:$H$105,6,FALSE),""))</f>
        <v/>
      </c>
      <c r="T86" s="27">
        <f>IF(OR($P86="",$S86=""),"",ROUND($P86*$S86,2))</f>
        <v/>
      </c>
      <c r="U86" s="18" t="n"/>
      <c r="V86" s="18" t="n"/>
      <c r="W86" s="18" t="n"/>
      <c r="X86" s="25" t="n"/>
      <c r="Y86" s="25" t="n"/>
      <c r="Z86" s="32" t="n"/>
      <c r="AA86" s="32" t="n"/>
      <c r="AB86" s="18" t="n"/>
      <c r="AC86" s="20" t="n"/>
      <c r="AD86" s="26">
        <f>IF($P86="","",MAX(0,$P86-N($X86)))</f>
        <v/>
      </c>
      <c r="AE86" s="23">
        <f>IF($A86="","",IF($M86="","Falta recurso",IF(IFERROR(VLOOKUP($M86,Recursos!$A$6:$H$105,7,FALSE),"No")&lt;&gt;"Sí","Recurso no activo",IF(OR($B86="",$H86="",$L86=""),"Faltan fecha u horarios",IF(OR($G86&gt;$H86,$H86&gt;$I86,$I86&gt;$J86,$J86&gt;$K86,$K86&gt;$L86),"Revisar secuencia horaria",IF(SUMPRODUCT(($B$6:$B$205=$B86)*($M$6:$M$205=$M86)*($H$6:$H$205&lt;$L86)*($L$6:$L$205&gt;$H86)*N($P$6:$P$205))&gt;N($R86),"Stock insuficiente",IF(AND($U86&lt;&gt;"",SUMPRODUCT(($B$6:$B$205=$B86)*($U$6:$U$205=$U86)*($A$6:$A$205&lt;&gt;$A86)*($H$6:$H$205&lt;$L86)*($L$6:$L$205&gt;$H86))&gt;0),"Vehículo solapado",IF(AND($Z86&lt;&gt;"",$J86&lt;&gt;"",$Z86&gt;$J86),"Entrega fuera de ventana",IF(AND($W86="Devuelto",N($Y86)&lt;N($X86)),"Devolución incompleta","")))))))))</f>
        <v/>
      </c>
      <c r="AF86" s="24">
        <f>IF($A86="","",IF(OR($B86="",$C86="",$D86="",$E86="",$H86="",$I86="",$J86="",$L86="",$M86="",$P86="",$U86="",$V86="",$W86=""),"Revisar",IF($AE86&lt;&gt;"","Revisar","Correcto")))</f>
        <v/>
      </c>
    </row>
    <row r="87">
      <c r="A87" s="18" t="n"/>
      <c r="B87" s="19" t="n"/>
      <c r="C87" s="20" t="n"/>
      <c r="D87" s="20" t="n"/>
      <c r="E87" s="18" t="n"/>
      <c r="F87" s="21" t="n"/>
      <c r="G87" s="32" t="n"/>
      <c r="H87" s="32" t="n"/>
      <c r="I87" s="32" t="n"/>
      <c r="J87" s="32" t="n"/>
      <c r="K87" s="32" t="n"/>
      <c r="L87" s="32" t="n"/>
      <c r="M87" s="18" t="n"/>
      <c r="N87" s="23">
        <f>IF($M87="","",IFERROR(VLOOKUP($M87,Recursos!$A$6:$H$105,3,FALSE),"Código no encontrado"))</f>
        <v/>
      </c>
      <c r="O87" s="24">
        <f>IF($M87="","",IFERROR(VLOOKUP($M87,Recursos!$A$6:$H$105,2,FALSE),""))</f>
        <v/>
      </c>
      <c r="P87" s="25" t="n"/>
      <c r="Q87" s="24">
        <f>IF($M87="","",IFERROR(VLOOKUP($M87,Recursos!$A$6:$H$105,5,FALSE),""))</f>
        <v/>
      </c>
      <c r="R87" s="26">
        <f>IF($M87="","",IFERROR(VLOOKUP($M87,Recursos!$A$6:$H$105,4,FALSE),""))</f>
        <v/>
      </c>
      <c r="S87" s="27">
        <f>IF($M87="","",IFERROR(VLOOKUP($M87,Recursos!$A$6:$H$105,6,FALSE),""))</f>
        <v/>
      </c>
      <c r="T87" s="27">
        <f>IF(OR($P87="",$S87=""),"",ROUND($P87*$S87,2))</f>
        <v/>
      </c>
      <c r="U87" s="18" t="n"/>
      <c r="V87" s="18" t="n"/>
      <c r="W87" s="18" t="n"/>
      <c r="X87" s="25" t="n"/>
      <c r="Y87" s="25" t="n"/>
      <c r="Z87" s="32" t="n"/>
      <c r="AA87" s="32" t="n"/>
      <c r="AB87" s="18" t="n"/>
      <c r="AC87" s="20" t="n"/>
      <c r="AD87" s="26">
        <f>IF($P87="","",MAX(0,$P87-N($X87)))</f>
        <v/>
      </c>
      <c r="AE87" s="23">
        <f>IF($A87="","",IF($M87="","Falta recurso",IF(IFERROR(VLOOKUP($M87,Recursos!$A$6:$H$105,7,FALSE),"No")&lt;&gt;"Sí","Recurso no activo",IF(OR($B87="",$H87="",$L87=""),"Faltan fecha u horarios",IF(OR($G87&gt;$H87,$H87&gt;$I87,$I87&gt;$J87,$J87&gt;$K87,$K87&gt;$L87),"Revisar secuencia horaria",IF(SUMPRODUCT(($B$6:$B$205=$B87)*($M$6:$M$205=$M87)*($H$6:$H$205&lt;$L87)*($L$6:$L$205&gt;$H87)*N($P$6:$P$205))&gt;N($R87),"Stock insuficiente",IF(AND($U87&lt;&gt;"",SUMPRODUCT(($B$6:$B$205=$B87)*($U$6:$U$205=$U87)*($A$6:$A$205&lt;&gt;$A87)*($H$6:$H$205&lt;$L87)*($L$6:$L$205&gt;$H87))&gt;0),"Vehículo solapado",IF(AND($Z87&lt;&gt;"",$J87&lt;&gt;"",$Z87&gt;$J87),"Entrega fuera de ventana",IF(AND($W87="Devuelto",N($Y87)&lt;N($X87)),"Devolución incompleta","")))))))))</f>
        <v/>
      </c>
      <c r="AF87" s="24">
        <f>IF($A87="","",IF(OR($B87="",$C87="",$D87="",$E87="",$H87="",$I87="",$J87="",$L87="",$M87="",$P87="",$U87="",$V87="",$W87=""),"Revisar",IF($AE87&lt;&gt;"","Revisar","Correcto")))</f>
        <v/>
      </c>
    </row>
    <row r="88">
      <c r="A88" s="18" t="n"/>
      <c r="B88" s="19" t="n"/>
      <c r="C88" s="20" t="n"/>
      <c r="D88" s="20" t="n"/>
      <c r="E88" s="18" t="n"/>
      <c r="F88" s="21" t="n"/>
      <c r="G88" s="32" t="n"/>
      <c r="H88" s="32" t="n"/>
      <c r="I88" s="32" t="n"/>
      <c r="J88" s="32" t="n"/>
      <c r="K88" s="32" t="n"/>
      <c r="L88" s="32" t="n"/>
      <c r="M88" s="18" t="n"/>
      <c r="N88" s="23">
        <f>IF($M88="","",IFERROR(VLOOKUP($M88,Recursos!$A$6:$H$105,3,FALSE),"Código no encontrado"))</f>
        <v/>
      </c>
      <c r="O88" s="24">
        <f>IF($M88="","",IFERROR(VLOOKUP($M88,Recursos!$A$6:$H$105,2,FALSE),""))</f>
        <v/>
      </c>
      <c r="P88" s="25" t="n"/>
      <c r="Q88" s="24">
        <f>IF($M88="","",IFERROR(VLOOKUP($M88,Recursos!$A$6:$H$105,5,FALSE),""))</f>
        <v/>
      </c>
      <c r="R88" s="26">
        <f>IF($M88="","",IFERROR(VLOOKUP($M88,Recursos!$A$6:$H$105,4,FALSE),""))</f>
        <v/>
      </c>
      <c r="S88" s="27">
        <f>IF($M88="","",IFERROR(VLOOKUP($M88,Recursos!$A$6:$H$105,6,FALSE),""))</f>
        <v/>
      </c>
      <c r="T88" s="27">
        <f>IF(OR($P88="",$S88=""),"",ROUND($P88*$S88,2))</f>
        <v/>
      </c>
      <c r="U88" s="18" t="n"/>
      <c r="V88" s="18" t="n"/>
      <c r="W88" s="18" t="n"/>
      <c r="X88" s="25" t="n"/>
      <c r="Y88" s="25" t="n"/>
      <c r="Z88" s="32" t="n"/>
      <c r="AA88" s="32" t="n"/>
      <c r="AB88" s="18" t="n"/>
      <c r="AC88" s="20" t="n"/>
      <c r="AD88" s="26">
        <f>IF($P88="","",MAX(0,$P88-N($X88)))</f>
        <v/>
      </c>
      <c r="AE88" s="23">
        <f>IF($A88="","",IF($M88="","Falta recurso",IF(IFERROR(VLOOKUP($M88,Recursos!$A$6:$H$105,7,FALSE),"No")&lt;&gt;"Sí","Recurso no activo",IF(OR($B88="",$H88="",$L88=""),"Faltan fecha u horarios",IF(OR($G88&gt;$H88,$H88&gt;$I88,$I88&gt;$J88,$J88&gt;$K88,$K88&gt;$L88),"Revisar secuencia horaria",IF(SUMPRODUCT(($B$6:$B$205=$B88)*($M$6:$M$205=$M88)*($H$6:$H$205&lt;$L88)*($L$6:$L$205&gt;$H88)*N($P$6:$P$205))&gt;N($R88),"Stock insuficiente",IF(AND($U88&lt;&gt;"",SUMPRODUCT(($B$6:$B$205=$B88)*($U$6:$U$205=$U88)*($A$6:$A$205&lt;&gt;$A88)*($H$6:$H$205&lt;$L88)*($L$6:$L$205&gt;$H88))&gt;0),"Vehículo solapado",IF(AND($Z88&lt;&gt;"",$J88&lt;&gt;"",$Z88&gt;$J88),"Entrega fuera de ventana",IF(AND($W88="Devuelto",N($Y88)&lt;N($X88)),"Devolución incompleta","")))))))))</f>
        <v/>
      </c>
      <c r="AF88" s="24">
        <f>IF($A88="","",IF(OR($B88="",$C88="",$D88="",$E88="",$H88="",$I88="",$J88="",$L88="",$M88="",$P88="",$U88="",$V88="",$W88=""),"Revisar",IF($AE88&lt;&gt;"","Revisar","Correcto")))</f>
        <v/>
      </c>
    </row>
    <row r="89">
      <c r="A89" s="18" t="n"/>
      <c r="B89" s="19" t="n"/>
      <c r="C89" s="20" t="n"/>
      <c r="D89" s="20" t="n"/>
      <c r="E89" s="18" t="n"/>
      <c r="F89" s="21" t="n"/>
      <c r="G89" s="32" t="n"/>
      <c r="H89" s="32" t="n"/>
      <c r="I89" s="32" t="n"/>
      <c r="J89" s="32" t="n"/>
      <c r="K89" s="32" t="n"/>
      <c r="L89" s="32" t="n"/>
      <c r="M89" s="18" t="n"/>
      <c r="N89" s="23">
        <f>IF($M89="","",IFERROR(VLOOKUP($M89,Recursos!$A$6:$H$105,3,FALSE),"Código no encontrado"))</f>
        <v/>
      </c>
      <c r="O89" s="24">
        <f>IF($M89="","",IFERROR(VLOOKUP($M89,Recursos!$A$6:$H$105,2,FALSE),""))</f>
        <v/>
      </c>
      <c r="P89" s="25" t="n"/>
      <c r="Q89" s="24">
        <f>IF($M89="","",IFERROR(VLOOKUP($M89,Recursos!$A$6:$H$105,5,FALSE),""))</f>
        <v/>
      </c>
      <c r="R89" s="26">
        <f>IF($M89="","",IFERROR(VLOOKUP($M89,Recursos!$A$6:$H$105,4,FALSE),""))</f>
        <v/>
      </c>
      <c r="S89" s="27">
        <f>IF($M89="","",IFERROR(VLOOKUP($M89,Recursos!$A$6:$H$105,6,FALSE),""))</f>
        <v/>
      </c>
      <c r="T89" s="27">
        <f>IF(OR($P89="",$S89=""),"",ROUND($P89*$S89,2))</f>
        <v/>
      </c>
      <c r="U89" s="18" t="n"/>
      <c r="V89" s="18" t="n"/>
      <c r="W89" s="18" t="n"/>
      <c r="X89" s="25" t="n"/>
      <c r="Y89" s="25" t="n"/>
      <c r="Z89" s="32" t="n"/>
      <c r="AA89" s="32" t="n"/>
      <c r="AB89" s="18" t="n"/>
      <c r="AC89" s="20" t="n"/>
      <c r="AD89" s="26">
        <f>IF($P89="","",MAX(0,$P89-N($X89)))</f>
        <v/>
      </c>
      <c r="AE89" s="23">
        <f>IF($A89="","",IF($M89="","Falta recurso",IF(IFERROR(VLOOKUP($M89,Recursos!$A$6:$H$105,7,FALSE),"No")&lt;&gt;"Sí","Recurso no activo",IF(OR($B89="",$H89="",$L89=""),"Faltan fecha u horarios",IF(OR($G89&gt;$H89,$H89&gt;$I89,$I89&gt;$J89,$J89&gt;$K89,$K89&gt;$L89),"Revisar secuencia horaria",IF(SUMPRODUCT(($B$6:$B$205=$B89)*($M$6:$M$205=$M89)*($H$6:$H$205&lt;$L89)*($L$6:$L$205&gt;$H89)*N($P$6:$P$205))&gt;N($R89),"Stock insuficiente",IF(AND($U89&lt;&gt;"",SUMPRODUCT(($B$6:$B$205=$B89)*($U$6:$U$205=$U89)*($A$6:$A$205&lt;&gt;$A89)*($H$6:$H$205&lt;$L89)*($L$6:$L$205&gt;$H89))&gt;0),"Vehículo solapado",IF(AND($Z89&lt;&gt;"",$J89&lt;&gt;"",$Z89&gt;$J89),"Entrega fuera de ventana",IF(AND($W89="Devuelto",N($Y89)&lt;N($X89)),"Devolución incompleta","")))))))))</f>
        <v/>
      </c>
      <c r="AF89" s="24">
        <f>IF($A89="","",IF(OR($B89="",$C89="",$D89="",$E89="",$H89="",$I89="",$J89="",$L89="",$M89="",$P89="",$U89="",$V89="",$W89=""),"Revisar",IF($AE89&lt;&gt;"","Revisar","Correcto")))</f>
        <v/>
      </c>
    </row>
    <row r="90">
      <c r="A90" s="18" t="n"/>
      <c r="B90" s="19" t="n"/>
      <c r="C90" s="20" t="n"/>
      <c r="D90" s="20" t="n"/>
      <c r="E90" s="18" t="n"/>
      <c r="F90" s="21" t="n"/>
      <c r="G90" s="32" t="n"/>
      <c r="H90" s="32" t="n"/>
      <c r="I90" s="32" t="n"/>
      <c r="J90" s="32" t="n"/>
      <c r="K90" s="32" t="n"/>
      <c r="L90" s="32" t="n"/>
      <c r="M90" s="18" t="n"/>
      <c r="N90" s="23">
        <f>IF($M90="","",IFERROR(VLOOKUP($M90,Recursos!$A$6:$H$105,3,FALSE),"Código no encontrado"))</f>
        <v/>
      </c>
      <c r="O90" s="24">
        <f>IF($M90="","",IFERROR(VLOOKUP($M90,Recursos!$A$6:$H$105,2,FALSE),""))</f>
        <v/>
      </c>
      <c r="P90" s="25" t="n"/>
      <c r="Q90" s="24">
        <f>IF($M90="","",IFERROR(VLOOKUP($M90,Recursos!$A$6:$H$105,5,FALSE),""))</f>
        <v/>
      </c>
      <c r="R90" s="26">
        <f>IF($M90="","",IFERROR(VLOOKUP($M90,Recursos!$A$6:$H$105,4,FALSE),""))</f>
        <v/>
      </c>
      <c r="S90" s="27">
        <f>IF($M90="","",IFERROR(VLOOKUP($M90,Recursos!$A$6:$H$105,6,FALSE),""))</f>
        <v/>
      </c>
      <c r="T90" s="27">
        <f>IF(OR($P90="",$S90=""),"",ROUND($P90*$S90,2))</f>
        <v/>
      </c>
      <c r="U90" s="18" t="n"/>
      <c r="V90" s="18" t="n"/>
      <c r="W90" s="18" t="n"/>
      <c r="X90" s="25" t="n"/>
      <c r="Y90" s="25" t="n"/>
      <c r="Z90" s="32" t="n"/>
      <c r="AA90" s="32" t="n"/>
      <c r="AB90" s="18" t="n"/>
      <c r="AC90" s="20" t="n"/>
      <c r="AD90" s="26">
        <f>IF($P90="","",MAX(0,$P90-N($X90)))</f>
        <v/>
      </c>
      <c r="AE90" s="23">
        <f>IF($A90="","",IF($M90="","Falta recurso",IF(IFERROR(VLOOKUP($M90,Recursos!$A$6:$H$105,7,FALSE),"No")&lt;&gt;"Sí","Recurso no activo",IF(OR($B90="",$H90="",$L90=""),"Faltan fecha u horarios",IF(OR($G90&gt;$H90,$H90&gt;$I90,$I90&gt;$J90,$J90&gt;$K90,$K90&gt;$L90),"Revisar secuencia horaria",IF(SUMPRODUCT(($B$6:$B$205=$B90)*($M$6:$M$205=$M90)*($H$6:$H$205&lt;$L90)*($L$6:$L$205&gt;$H90)*N($P$6:$P$205))&gt;N($R90),"Stock insuficiente",IF(AND($U90&lt;&gt;"",SUMPRODUCT(($B$6:$B$205=$B90)*($U$6:$U$205=$U90)*($A$6:$A$205&lt;&gt;$A90)*($H$6:$H$205&lt;$L90)*($L$6:$L$205&gt;$H90))&gt;0),"Vehículo solapado",IF(AND($Z90&lt;&gt;"",$J90&lt;&gt;"",$Z90&gt;$J90),"Entrega fuera de ventana",IF(AND($W90="Devuelto",N($Y90)&lt;N($X90)),"Devolución incompleta","")))))))))</f>
        <v/>
      </c>
      <c r="AF90" s="24">
        <f>IF($A90="","",IF(OR($B90="",$C90="",$D90="",$E90="",$H90="",$I90="",$J90="",$L90="",$M90="",$P90="",$U90="",$V90="",$W90=""),"Revisar",IF($AE90&lt;&gt;"","Revisar","Correcto")))</f>
        <v/>
      </c>
    </row>
    <row r="91">
      <c r="A91" s="18" t="n"/>
      <c r="B91" s="19" t="n"/>
      <c r="C91" s="20" t="n"/>
      <c r="D91" s="20" t="n"/>
      <c r="E91" s="18" t="n"/>
      <c r="F91" s="21" t="n"/>
      <c r="G91" s="32" t="n"/>
      <c r="H91" s="32" t="n"/>
      <c r="I91" s="32" t="n"/>
      <c r="J91" s="32" t="n"/>
      <c r="K91" s="32" t="n"/>
      <c r="L91" s="32" t="n"/>
      <c r="M91" s="18" t="n"/>
      <c r="N91" s="23">
        <f>IF($M91="","",IFERROR(VLOOKUP($M91,Recursos!$A$6:$H$105,3,FALSE),"Código no encontrado"))</f>
        <v/>
      </c>
      <c r="O91" s="24">
        <f>IF($M91="","",IFERROR(VLOOKUP($M91,Recursos!$A$6:$H$105,2,FALSE),""))</f>
        <v/>
      </c>
      <c r="P91" s="25" t="n"/>
      <c r="Q91" s="24">
        <f>IF($M91="","",IFERROR(VLOOKUP($M91,Recursos!$A$6:$H$105,5,FALSE),""))</f>
        <v/>
      </c>
      <c r="R91" s="26">
        <f>IF($M91="","",IFERROR(VLOOKUP($M91,Recursos!$A$6:$H$105,4,FALSE),""))</f>
        <v/>
      </c>
      <c r="S91" s="27">
        <f>IF($M91="","",IFERROR(VLOOKUP($M91,Recursos!$A$6:$H$105,6,FALSE),""))</f>
        <v/>
      </c>
      <c r="T91" s="27">
        <f>IF(OR($P91="",$S91=""),"",ROUND($P91*$S91,2))</f>
        <v/>
      </c>
      <c r="U91" s="18" t="n"/>
      <c r="V91" s="18" t="n"/>
      <c r="W91" s="18" t="n"/>
      <c r="X91" s="25" t="n"/>
      <c r="Y91" s="25" t="n"/>
      <c r="Z91" s="32" t="n"/>
      <c r="AA91" s="32" t="n"/>
      <c r="AB91" s="18" t="n"/>
      <c r="AC91" s="20" t="n"/>
      <c r="AD91" s="26">
        <f>IF($P91="","",MAX(0,$P91-N($X91)))</f>
        <v/>
      </c>
      <c r="AE91" s="23">
        <f>IF($A91="","",IF($M91="","Falta recurso",IF(IFERROR(VLOOKUP($M91,Recursos!$A$6:$H$105,7,FALSE),"No")&lt;&gt;"Sí","Recurso no activo",IF(OR($B91="",$H91="",$L91=""),"Faltan fecha u horarios",IF(OR($G91&gt;$H91,$H91&gt;$I91,$I91&gt;$J91,$J91&gt;$K91,$K91&gt;$L91),"Revisar secuencia horaria",IF(SUMPRODUCT(($B$6:$B$205=$B91)*($M$6:$M$205=$M91)*($H$6:$H$205&lt;$L91)*($L$6:$L$205&gt;$H91)*N($P$6:$P$205))&gt;N($R91),"Stock insuficiente",IF(AND($U91&lt;&gt;"",SUMPRODUCT(($B$6:$B$205=$B91)*($U$6:$U$205=$U91)*($A$6:$A$205&lt;&gt;$A91)*($H$6:$H$205&lt;$L91)*($L$6:$L$205&gt;$H91))&gt;0),"Vehículo solapado",IF(AND($Z91&lt;&gt;"",$J91&lt;&gt;"",$Z91&gt;$J91),"Entrega fuera de ventana",IF(AND($W91="Devuelto",N($Y91)&lt;N($X91)),"Devolución incompleta","")))))))))</f>
        <v/>
      </c>
      <c r="AF91" s="24">
        <f>IF($A91="","",IF(OR($B91="",$C91="",$D91="",$E91="",$H91="",$I91="",$J91="",$L91="",$M91="",$P91="",$U91="",$V91="",$W91=""),"Revisar",IF($AE91&lt;&gt;"","Revisar","Correcto")))</f>
        <v/>
      </c>
    </row>
    <row r="92">
      <c r="A92" s="18" t="n"/>
      <c r="B92" s="19" t="n"/>
      <c r="C92" s="20" t="n"/>
      <c r="D92" s="20" t="n"/>
      <c r="E92" s="18" t="n"/>
      <c r="F92" s="21" t="n"/>
      <c r="G92" s="32" t="n"/>
      <c r="H92" s="32" t="n"/>
      <c r="I92" s="32" t="n"/>
      <c r="J92" s="32" t="n"/>
      <c r="K92" s="32" t="n"/>
      <c r="L92" s="32" t="n"/>
      <c r="M92" s="18" t="n"/>
      <c r="N92" s="23">
        <f>IF($M92="","",IFERROR(VLOOKUP($M92,Recursos!$A$6:$H$105,3,FALSE),"Código no encontrado"))</f>
        <v/>
      </c>
      <c r="O92" s="24">
        <f>IF($M92="","",IFERROR(VLOOKUP($M92,Recursos!$A$6:$H$105,2,FALSE),""))</f>
        <v/>
      </c>
      <c r="P92" s="25" t="n"/>
      <c r="Q92" s="24">
        <f>IF($M92="","",IFERROR(VLOOKUP($M92,Recursos!$A$6:$H$105,5,FALSE),""))</f>
        <v/>
      </c>
      <c r="R92" s="26">
        <f>IF($M92="","",IFERROR(VLOOKUP($M92,Recursos!$A$6:$H$105,4,FALSE),""))</f>
        <v/>
      </c>
      <c r="S92" s="27">
        <f>IF($M92="","",IFERROR(VLOOKUP($M92,Recursos!$A$6:$H$105,6,FALSE),""))</f>
        <v/>
      </c>
      <c r="T92" s="27">
        <f>IF(OR($P92="",$S92=""),"",ROUND($P92*$S92,2))</f>
        <v/>
      </c>
      <c r="U92" s="18" t="n"/>
      <c r="V92" s="18" t="n"/>
      <c r="W92" s="18" t="n"/>
      <c r="X92" s="25" t="n"/>
      <c r="Y92" s="25" t="n"/>
      <c r="Z92" s="32" t="n"/>
      <c r="AA92" s="32" t="n"/>
      <c r="AB92" s="18" t="n"/>
      <c r="AC92" s="20" t="n"/>
      <c r="AD92" s="26">
        <f>IF($P92="","",MAX(0,$P92-N($X92)))</f>
        <v/>
      </c>
      <c r="AE92" s="23">
        <f>IF($A92="","",IF($M92="","Falta recurso",IF(IFERROR(VLOOKUP($M92,Recursos!$A$6:$H$105,7,FALSE),"No")&lt;&gt;"Sí","Recurso no activo",IF(OR($B92="",$H92="",$L92=""),"Faltan fecha u horarios",IF(OR($G92&gt;$H92,$H92&gt;$I92,$I92&gt;$J92,$J92&gt;$K92,$K92&gt;$L92),"Revisar secuencia horaria",IF(SUMPRODUCT(($B$6:$B$205=$B92)*($M$6:$M$205=$M92)*($H$6:$H$205&lt;$L92)*($L$6:$L$205&gt;$H92)*N($P$6:$P$205))&gt;N($R92),"Stock insuficiente",IF(AND($U92&lt;&gt;"",SUMPRODUCT(($B$6:$B$205=$B92)*($U$6:$U$205=$U92)*($A$6:$A$205&lt;&gt;$A92)*($H$6:$H$205&lt;$L92)*($L$6:$L$205&gt;$H92))&gt;0),"Vehículo solapado",IF(AND($Z92&lt;&gt;"",$J92&lt;&gt;"",$Z92&gt;$J92),"Entrega fuera de ventana",IF(AND($W92="Devuelto",N($Y92)&lt;N($X92)),"Devolución incompleta","")))))))))</f>
        <v/>
      </c>
      <c r="AF92" s="24">
        <f>IF($A92="","",IF(OR($B92="",$C92="",$D92="",$E92="",$H92="",$I92="",$J92="",$L92="",$M92="",$P92="",$U92="",$V92="",$W92=""),"Revisar",IF($AE92&lt;&gt;"","Revisar","Correcto")))</f>
        <v/>
      </c>
    </row>
    <row r="93">
      <c r="A93" s="18" t="n"/>
      <c r="B93" s="19" t="n"/>
      <c r="C93" s="20" t="n"/>
      <c r="D93" s="20" t="n"/>
      <c r="E93" s="18" t="n"/>
      <c r="F93" s="21" t="n"/>
      <c r="G93" s="32" t="n"/>
      <c r="H93" s="32" t="n"/>
      <c r="I93" s="32" t="n"/>
      <c r="J93" s="32" t="n"/>
      <c r="K93" s="32" t="n"/>
      <c r="L93" s="32" t="n"/>
      <c r="M93" s="18" t="n"/>
      <c r="N93" s="23">
        <f>IF($M93="","",IFERROR(VLOOKUP($M93,Recursos!$A$6:$H$105,3,FALSE),"Código no encontrado"))</f>
        <v/>
      </c>
      <c r="O93" s="24">
        <f>IF($M93="","",IFERROR(VLOOKUP($M93,Recursos!$A$6:$H$105,2,FALSE),""))</f>
        <v/>
      </c>
      <c r="P93" s="25" t="n"/>
      <c r="Q93" s="24">
        <f>IF($M93="","",IFERROR(VLOOKUP($M93,Recursos!$A$6:$H$105,5,FALSE),""))</f>
        <v/>
      </c>
      <c r="R93" s="26">
        <f>IF($M93="","",IFERROR(VLOOKUP($M93,Recursos!$A$6:$H$105,4,FALSE),""))</f>
        <v/>
      </c>
      <c r="S93" s="27">
        <f>IF($M93="","",IFERROR(VLOOKUP($M93,Recursos!$A$6:$H$105,6,FALSE),""))</f>
        <v/>
      </c>
      <c r="T93" s="27">
        <f>IF(OR($P93="",$S93=""),"",ROUND($P93*$S93,2))</f>
        <v/>
      </c>
      <c r="U93" s="18" t="n"/>
      <c r="V93" s="18" t="n"/>
      <c r="W93" s="18" t="n"/>
      <c r="X93" s="25" t="n"/>
      <c r="Y93" s="25" t="n"/>
      <c r="Z93" s="32" t="n"/>
      <c r="AA93" s="32" t="n"/>
      <c r="AB93" s="18" t="n"/>
      <c r="AC93" s="20" t="n"/>
      <c r="AD93" s="26">
        <f>IF($P93="","",MAX(0,$P93-N($X93)))</f>
        <v/>
      </c>
      <c r="AE93" s="23">
        <f>IF($A93="","",IF($M93="","Falta recurso",IF(IFERROR(VLOOKUP($M93,Recursos!$A$6:$H$105,7,FALSE),"No")&lt;&gt;"Sí","Recurso no activo",IF(OR($B93="",$H93="",$L93=""),"Faltan fecha u horarios",IF(OR($G93&gt;$H93,$H93&gt;$I93,$I93&gt;$J93,$J93&gt;$K93,$K93&gt;$L93),"Revisar secuencia horaria",IF(SUMPRODUCT(($B$6:$B$205=$B93)*($M$6:$M$205=$M93)*($H$6:$H$205&lt;$L93)*($L$6:$L$205&gt;$H93)*N($P$6:$P$205))&gt;N($R93),"Stock insuficiente",IF(AND($U93&lt;&gt;"",SUMPRODUCT(($B$6:$B$205=$B93)*($U$6:$U$205=$U93)*($A$6:$A$205&lt;&gt;$A93)*($H$6:$H$205&lt;$L93)*($L$6:$L$205&gt;$H93))&gt;0),"Vehículo solapado",IF(AND($Z93&lt;&gt;"",$J93&lt;&gt;"",$Z93&gt;$J93),"Entrega fuera de ventana",IF(AND($W93="Devuelto",N($Y93)&lt;N($X93)),"Devolución incompleta","")))))))))</f>
        <v/>
      </c>
      <c r="AF93" s="24">
        <f>IF($A93="","",IF(OR($B93="",$C93="",$D93="",$E93="",$H93="",$I93="",$J93="",$L93="",$M93="",$P93="",$U93="",$V93="",$W93=""),"Revisar",IF($AE93&lt;&gt;"","Revisar","Correcto")))</f>
        <v/>
      </c>
    </row>
    <row r="94">
      <c r="A94" s="18" t="n"/>
      <c r="B94" s="19" t="n"/>
      <c r="C94" s="20" t="n"/>
      <c r="D94" s="20" t="n"/>
      <c r="E94" s="18" t="n"/>
      <c r="F94" s="21" t="n"/>
      <c r="G94" s="32" t="n"/>
      <c r="H94" s="32" t="n"/>
      <c r="I94" s="32" t="n"/>
      <c r="J94" s="32" t="n"/>
      <c r="K94" s="32" t="n"/>
      <c r="L94" s="32" t="n"/>
      <c r="M94" s="18" t="n"/>
      <c r="N94" s="23">
        <f>IF($M94="","",IFERROR(VLOOKUP($M94,Recursos!$A$6:$H$105,3,FALSE),"Código no encontrado"))</f>
        <v/>
      </c>
      <c r="O94" s="24">
        <f>IF($M94="","",IFERROR(VLOOKUP($M94,Recursos!$A$6:$H$105,2,FALSE),""))</f>
        <v/>
      </c>
      <c r="P94" s="25" t="n"/>
      <c r="Q94" s="24">
        <f>IF($M94="","",IFERROR(VLOOKUP($M94,Recursos!$A$6:$H$105,5,FALSE),""))</f>
        <v/>
      </c>
      <c r="R94" s="26">
        <f>IF($M94="","",IFERROR(VLOOKUP($M94,Recursos!$A$6:$H$105,4,FALSE),""))</f>
        <v/>
      </c>
      <c r="S94" s="27">
        <f>IF($M94="","",IFERROR(VLOOKUP($M94,Recursos!$A$6:$H$105,6,FALSE),""))</f>
        <v/>
      </c>
      <c r="T94" s="27">
        <f>IF(OR($P94="",$S94=""),"",ROUND($P94*$S94,2))</f>
        <v/>
      </c>
      <c r="U94" s="18" t="n"/>
      <c r="V94" s="18" t="n"/>
      <c r="W94" s="18" t="n"/>
      <c r="X94" s="25" t="n"/>
      <c r="Y94" s="25" t="n"/>
      <c r="Z94" s="32" t="n"/>
      <c r="AA94" s="32" t="n"/>
      <c r="AB94" s="18" t="n"/>
      <c r="AC94" s="20" t="n"/>
      <c r="AD94" s="26">
        <f>IF($P94="","",MAX(0,$P94-N($X94)))</f>
        <v/>
      </c>
      <c r="AE94" s="23">
        <f>IF($A94="","",IF($M94="","Falta recurso",IF(IFERROR(VLOOKUP($M94,Recursos!$A$6:$H$105,7,FALSE),"No")&lt;&gt;"Sí","Recurso no activo",IF(OR($B94="",$H94="",$L94=""),"Faltan fecha u horarios",IF(OR($G94&gt;$H94,$H94&gt;$I94,$I94&gt;$J94,$J94&gt;$K94,$K94&gt;$L94),"Revisar secuencia horaria",IF(SUMPRODUCT(($B$6:$B$205=$B94)*($M$6:$M$205=$M94)*($H$6:$H$205&lt;$L94)*($L$6:$L$205&gt;$H94)*N($P$6:$P$205))&gt;N($R94),"Stock insuficiente",IF(AND($U94&lt;&gt;"",SUMPRODUCT(($B$6:$B$205=$B94)*($U$6:$U$205=$U94)*($A$6:$A$205&lt;&gt;$A94)*($H$6:$H$205&lt;$L94)*($L$6:$L$205&gt;$H94))&gt;0),"Vehículo solapado",IF(AND($Z94&lt;&gt;"",$J94&lt;&gt;"",$Z94&gt;$J94),"Entrega fuera de ventana",IF(AND($W94="Devuelto",N($Y94)&lt;N($X94)),"Devolución incompleta","")))))))))</f>
        <v/>
      </c>
      <c r="AF94" s="24">
        <f>IF($A94="","",IF(OR($B94="",$C94="",$D94="",$E94="",$H94="",$I94="",$J94="",$L94="",$M94="",$P94="",$U94="",$V94="",$W94=""),"Revisar",IF($AE94&lt;&gt;"","Revisar","Correcto")))</f>
        <v/>
      </c>
    </row>
    <row r="95">
      <c r="A95" s="18" t="n"/>
      <c r="B95" s="19" t="n"/>
      <c r="C95" s="20" t="n"/>
      <c r="D95" s="20" t="n"/>
      <c r="E95" s="18" t="n"/>
      <c r="F95" s="21" t="n"/>
      <c r="G95" s="32" t="n"/>
      <c r="H95" s="32" t="n"/>
      <c r="I95" s="32" t="n"/>
      <c r="J95" s="32" t="n"/>
      <c r="K95" s="32" t="n"/>
      <c r="L95" s="32" t="n"/>
      <c r="M95" s="18" t="n"/>
      <c r="N95" s="23">
        <f>IF($M95="","",IFERROR(VLOOKUP($M95,Recursos!$A$6:$H$105,3,FALSE),"Código no encontrado"))</f>
        <v/>
      </c>
      <c r="O95" s="24">
        <f>IF($M95="","",IFERROR(VLOOKUP($M95,Recursos!$A$6:$H$105,2,FALSE),""))</f>
        <v/>
      </c>
      <c r="P95" s="25" t="n"/>
      <c r="Q95" s="24">
        <f>IF($M95="","",IFERROR(VLOOKUP($M95,Recursos!$A$6:$H$105,5,FALSE),""))</f>
        <v/>
      </c>
      <c r="R95" s="26">
        <f>IF($M95="","",IFERROR(VLOOKUP($M95,Recursos!$A$6:$H$105,4,FALSE),""))</f>
        <v/>
      </c>
      <c r="S95" s="27">
        <f>IF($M95="","",IFERROR(VLOOKUP($M95,Recursos!$A$6:$H$105,6,FALSE),""))</f>
        <v/>
      </c>
      <c r="T95" s="27">
        <f>IF(OR($P95="",$S95=""),"",ROUND($P95*$S95,2))</f>
        <v/>
      </c>
      <c r="U95" s="18" t="n"/>
      <c r="V95" s="18" t="n"/>
      <c r="W95" s="18" t="n"/>
      <c r="X95" s="25" t="n"/>
      <c r="Y95" s="25" t="n"/>
      <c r="Z95" s="32" t="n"/>
      <c r="AA95" s="32" t="n"/>
      <c r="AB95" s="18" t="n"/>
      <c r="AC95" s="20" t="n"/>
      <c r="AD95" s="26">
        <f>IF($P95="","",MAX(0,$P95-N($X95)))</f>
        <v/>
      </c>
      <c r="AE95" s="23">
        <f>IF($A95="","",IF($M95="","Falta recurso",IF(IFERROR(VLOOKUP($M95,Recursos!$A$6:$H$105,7,FALSE),"No")&lt;&gt;"Sí","Recurso no activo",IF(OR($B95="",$H95="",$L95=""),"Faltan fecha u horarios",IF(OR($G95&gt;$H95,$H95&gt;$I95,$I95&gt;$J95,$J95&gt;$K95,$K95&gt;$L95),"Revisar secuencia horaria",IF(SUMPRODUCT(($B$6:$B$205=$B95)*($M$6:$M$205=$M95)*($H$6:$H$205&lt;$L95)*($L$6:$L$205&gt;$H95)*N($P$6:$P$205))&gt;N($R95),"Stock insuficiente",IF(AND($U95&lt;&gt;"",SUMPRODUCT(($B$6:$B$205=$B95)*($U$6:$U$205=$U95)*($A$6:$A$205&lt;&gt;$A95)*($H$6:$H$205&lt;$L95)*($L$6:$L$205&gt;$H95))&gt;0),"Vehículo solapado",IF(AND($Z95&lt;&gt;"",$J95&lt;&gt;"",$Z95&gt;$J95),"Entrega fuera de ventana",IF(AND($W95="Devuelto",N($Y95)&lt;N($X95)),"Devolución incompleta","")))))))))</f>
        <v/>
      </c>
      <c r="AF95" s="24">
        <f>IF($A95="","",IF(OR($B95="",$C95="",$D95="",$E95="",$H95="",$I95="",$J95="",$L95="",$M95="",$P95="",$U95="",$V95="",$W95=""),"Revisar",IF($AE95&lt;&gt;"","Revisar","Correcto")))</f>
        <v/>
      </c>
    </row>
    <row r="96">
      <c r="A96" s="18" t="n"/>
      <c r="B96" s="19" t="n"/>
      <c r="C96" s="20" t="n"/>
      <c r="D96" s="20" t="n"/>
      <c r="E96" s="18" t="n"/>
      <c r="F96" s="21" t="n"/>
      <c r="G96" s="32" t="n"/>
      <c r="H96" s="32" t="n"/>
      <c r="I96" s="32" t="n"/>
      <c r="J96" s="32" t="n"/>
      <c r="K96" s="32" t="n"/>
      <c r="L96" s="32" t="n"/>
      <c r="M96" s="18" t="n"/>
      <c r="N96" s="23">
        <f>IF($M96="","",IFERROR(VLOOKUP($M96,Recursos!$A$6:$H$105,3,FALSE),"Código no encontrado"))</f>
        <v/>
      </c>
      <c r="O96" s="24">
        <f>IF($M96="","",IFERROR(VLOOKUP($M96,Recursos!$A$6:$H$105,2,FALSE),""))</f>
        <v/>
      </c>
      <c r="P96" s="25" t="n"/>
      <c r="Q96" s="24">
        <f>IF($M96="","",IFERROR(VLOOKUP($M96,Recursos!$A$6:$H$105,5,FALSE),""))</f>
        <v/>
      </c>
      <c r="R96" s="26">
        <f>IF($M96="","",IFERROR(VLOOKUP($M96,Recursos!$A$6:$H$105,4,FALSE),""))</f>
        <v/>
      </c>
      <c r="S96" s="27">
        <f>IF($M96="","",IFERROR(VLOOKUP($M96,Recursos!$A$6:$H$105,6,FALSE),""))</f>
        <v/>
      </c>
      <c r="T96" s="27">
        <f>IF(OR($P96="",$S96=""),"",ROUND($P96*$S96,2))</f>
        <v/>
      </c>
      <c r="U96" s="18" t="n"/>
      <c r="V96" s="18" t="n"/>
      <c r="W96" s="18" t="n"/>
      <c r="X96" s="25" t="n"/>
      <c r="Y96" s="25" t="n"/>
      <c r="Z96" s="32" t="n"/>
      <c r="AA96" s="32" t="n"/>
      <c r="AB96" s="18" t="n"/>
      <c r="AC96" s="20" t="n"/>
      <c r="AD96" s="26">
        <f>IF($P96="","",MAX(0,$P96-N($X96)))</f>
        <v/>
      </c>
      <c r="AE96" s="23">
        <f>IF($A96="","",IF($M96="","Falta recurso",IF(IFERROR(VLOOKUP($M96,Recursos!$A$6:$H$105,7,FALSE),"No")&lt;&gt;"Sí","Recurso no activo",IF(OR($B96="",$H96="",$L96=""),"Faltan fecha u horarios",IF(OR($G96&gt;$H96,$H96&gt;$I96,$I96&gt;$J96,$J96&gt;$K96,$K96&gt;$L96),"Revisar secuencia horaria",IF(SUMPRODUCT(($B$6:$B$205=$B96)*($M$6:$M$205=$M96)*($H$6:$H$205&lt;$L96)*($L$6:$L$205&gt;$H96)*N($P$6:$P$205))&gt;N($R96),"Stock insuficiente",IF(AND($U96&lt;&gt;"",SUMPRODUCT(($B$6:$B$205=$B96)*($U$6:$U$205=$U96)*($A$6:$A$205&lt;&gt;$A96)*($H$6:$H$205&lt;$L96)*($L$6:$L$205&gt;$H96))&gt;0),"Vehículo solapado",IF(AND($Z96&lt;&gt;"",$J96&lt;&gt;"",$Z96&gt;$J96),"Entrega fuera de ventana",IF(AND($W96="Devuelto",N($Y96)&lt;N($X96)),"Devolución incompleta","")))))))))</f>
        <v/>
      </c>
      <c r="AF96" s="24">
        <f>IF($A96="","",IF(OR($B96="",$C96="",$D96="",$E96="",$H96="",$I96="",$J96="",$L96="",$M96="",$P96="",$U96="",$V96="",$W96=""),"Revisar",IF($AE96&lt;&gt;"","Revisar","Correcto")))</f>
        <v/>
      </c>
    </row>
    <row r="97">
      <c r="A97" s="18" t="n"/>
      <c r="B97" s="19" t="n"/>
      <c r="C97" s="20" t="n"/>
      <c r="D97" s="20" t="n"/>
      <c r="E97" s="18" t="n"/>
      <c r="F97" s="21" t="n"/>
      <c r="G97" s="32" t="n"/>
      <c r="H97" s="32" t="n"/>
      <c r="I97" s="32" t="n"/>
      <c r="J97" s="32" t="n"/>
      <c r="K97" s="32" t="n"/>
      <c r="L97" s="32" t="n"/>
      <c r="M97" s="18" t="n"/>
      <c r="N97" s="23">
        <f>IF($M97="","",IFERROR(VLOOKUP($M97,Recursos!$A$6:$H$105,3,FALSE),"Código no encontrado"))</f>
        <v/>
      </c>
      <c r="O97" s="24">
        <f>IF($M97="","",IFERROR(VLOOKUP($M97,Recursos!$A$6:$H$105,2,FALSE),""))</f>
        <v/>
      </c>
      <c r="P97" s="25" t="n"/>
      <c r="Q97" s="24">
        <f>IF($M97="","",IFERROR(VLOOKUP($M97,Recursos!$A$6:$H$105,5,FALSE),""))</f>
        <v/>
      </c>
      <c r="R97" s="26">
        <f>IF($M97="","",IFERROR(VLOOKUP($M97,Recursos!$A$6:$H$105,4,FALSE),""))</f>
        <v/>
      </c>
      <c r="S97" s="27">
        <f>IF($M97="","",IFERROR(VLOOKUP($M97,Recursos!$A$6:$H$105,6,FALSE),""))</f>
        <v/>
      </c>
      <c r="T97" s="27">
        <f>IF(OR($P97="",$S97=""),"",ROUND($P97*$S97,2))</f>
        <v/>
      </c>
      <c r="U97" s="18" t="n"/>
      <c r="V97" s="18" t="n"/>
      <c r="W97" s="18" t="n"/>
      <c r="X97" s="25" t="n"/>
      <c r="Y97" s="25" t="n"/>
      <c r="Z97" s="32" t="n"/>
      <c r="AA97" s="32" t="n"/>
      <c r="AB97" s="18" t="n"/>
      <c r="AC97" s="20" t="n"/>
      <c r="AD97" s="26">
        <f>IF($P97="","",MAX(0,$P97-N($X97)))</f>
        <v/>
      </c>
      <c r="AE97" s="23">
        <f>IF($A97="","",IF($M97="","Falta recurso",IF(IFERROR(VLOOKUP($M97,Recursos!$A$6:$H$105,7,FALSE),"No")&lt;&gt;"Sí","Recurso no activo",IF(OR($B97="",$H97="",$L97=""),"Faltan fecha u horarios",IF(OR($G97&gt;$H97,$H97&gt;$I97,$I97&gt;$J97,$J97&gt;$K97,$K97&gt;$L97),"Revisar secuencia horaria",IF(SUMPRODUCT(($B$6:$B$205=$B97)*($M$6:$M$205=$M97)*($H$6:$H$205&lt;$L97)*($L$6:$L$205&gt;$H97)*N($P$6:$P$205))&gt;N($R97),"Stock insuficiente",IF(AND($U97&lt;&gt;"",SUMPRODUCT(($B$6:$B$205=$B97)*($U$6:$U$205=$U97)*($A$6:$A$205&lt;&gt;$A97)*($H$6:$H$205&lt;$L97)*($L$6:$L$205&gt;$H97))&gt;0),"Vehículo solapado",IF(AND($Z97&lt;&gt;"",$J97&lt;&gt;"",$Z97&gt;$J97),"Entrega fuera de ventana",IF(AND($W97="Devuelto",N($Y97)&lt;N($X97)),"Devolución incompleta","")))))))))</f>
        <v/>
      </c>
      <c r="AF97" s="24">
        <f>IF($A97="","",IF(OR($B97="",$C97="",$D97="",$E97="",$H97="",$I97="",$J97="",$L97="",$M97="",$P97="",$U97="",$V97="",$W97=""),"Revisar",IF($AE97&lt;&gt;"","Revisar","Correcto")))</f>
        <v/>
      </c>
    </row>
    <row r="98">
      <c r="A98" s="18" t="n"/>
      <c r="B98" s="19" t="n"/>
      <c r="C98" s="20" t="n"/>
      <c r="D98" s="20" t="n"/>
      <c r="E98" s="18" t="n"/>
      <c r="F98" s="21" t="n"/>
      <c r="G98" s="32" t="n"/>
      <c r="H98" s="32" t="n"/>
      <c r="I98" s="32" t="n"/>
      <c r="J98" s="32" t="n"/>
      <c r="K98" s="32" t="n"/>
      <c r="L98" s="32" t="n"/>
      <c r="M98" s="18" t="n"/>
      <c r="N98" s="23">
        <f>IF($M98="","",IFERROR(VLOOKUP($M98,Recursos!$A$6:$H$105,3,FALSE),"Código no encontrado"))</f>
        <v/>
      </c>
      <c r="O98" s="24">
        <f>IF($M98="","",IFERROR(VLOOKUP($M98,Recursos!$A$6:$H$105,2,FALSE),""))</f>
        <v/>
      </c>
      <c r="P98" s="25" t="n"/>
      <c r="Q98" s="24">
        <f>IF($M98="","",IFERROR(VLOOKUP($M98,Recursos!$A$6:$H$105,5,FALSE),""))</f>
        <v/>
      </c>
      <c r="R98" s="26">
        <f>IF($M98="","",IFERROR(VLOOKUP($M98,Recursos!$A$6:$H$105,4,FALSE),""))</f>
        <v/>
      </c>
      <c r="S98" s="27">
        <f>IF($M98="","",IFERROR(VLOOKUP($M98,Recursos!$A$6:$H$105,6,FALSE),""))</f>
        <v/>
      </c>
      <c r="T98" s="27">
        <f>IF(OR($P98="",$S98=""),"",ROUND($P98*$S98,2))</f>
        <v/>
      </c>
      <c r="U98" s="18" t="n"/>
      <c r="V98" s="18" t="n"/>
      <c r="W98" s="18" t="n"/>
      <c r="X98" s="25" t="n"/>
      <c r="Y98" s="25" t="n"/>
      <c r="Z98" s="32" t="n"/>
      <c r="AA98" s="32" t="n"/>
      <c r="AB98" s="18" t="n"/>
      <c r="AC98" s="20" t="n"/>
      <c r="AD98" s="26">
        <f>IF($P98="","",MAX(0,$P98-N($X98)))</f>
        <v/>
      </c>
      <c r="AE98" s="23">
        <f>IF($A98="","",IF($M98="","Falta recurso",IF(IFERROR(VLOOKUP($M98,Recursos!$A$6:$H$105,7,FALSE),"No")&lt;&gt;"Sí","Recurso no activo",IF(OR($B98="",$H98="",$L98=""),"Faltan fecha u horarios",IF(OR($G98&gt;$H98,$H98&gt;$I98,$I98&gt;$J98,$J98&gt;$K98,$K98&gt;$L98),"Revisar secuencia horaria",IF(SUMPRODUCT(($B$6:$B$205=$B98)*($M$6:$M$205=$M98)*($H$6:$H$205&lt;$L98)*($L$6:$L$205&gt;$H98)*N($P$6:$P$205))&gt;N($R98),"Stock insuficiente",IF(AND($U98&lt;&gt;"",SUMPRODUCT(($B$6:$B$205=$B98)*($U$6:$U$205=$U98)*($A$6:$A$205&lt;&gt;$A98)*($H$6:$H$205&lt;$L98)*($L$6:$L$205&gt;$H98))&gt;0),"Vehículo solapado",IF(AND($Z98&lt;&gt;"",$J98&lt;&gt;"",$Z98&gt;$J98),"Entrega fuera de ventana",IF(AND($W98="Devuelto",N($Y98)&lt;N($X98)),"Devolución incompleta","")))))))))</f>
        <v/>
      </c>
      <c r="AF98" s="24">
        <f>IF($A98="","",IF(OR($B98="",$C98="",$D98="",$E98="",$H98="",$I98="",$J98="",$L98="",$M98="",$P98="",$U98="",$V98="",$W98=""),"Revisar",IF($AE98&lt;&gt;"","Revisar","Correcto")))</f>
        <v/>
      </c>
    </row>
    <row r="99">
      <c r="A99" s="18" t="n"/>
      <c r="B99" s="19" t="n"/>
      <c r="C99" s="20" t="n"/>
      <c r="D99" s="20" t="n"/>
      <c r="E99" s="18" t="n"/>
      <c r="F99" s="21" t="n"/>
      <c r="G99" s="32" t="n"/>
      <c r="H99" s="32" t="n"/>
      <c r="I99" s="32" t="n"/>
      <c r="J99" s="32" t="n"/>
      <c r="K99" s="32" t="n"/>
      <c r="L99" s="32" t="n"/>
      <c r="M99" s="18" t="n"/>
      <c r="N99" s="23">
        <f>IF($M99="","",IFERROR(VLOOKUP($M99,Recursos!$A$6:$H$105,3,FALSE),"Código no encontrado"))</f>
        <v/>
      </c>
      <c r="O99" s="24">
        <f>IF($M99="","",IFERROR(VLOOKUP($M99,Recursos!$A$6:$H$105,2,FALSE),""))</f>
        <v/>
      </c>
      <c r="P99" s="25" t="n"/>
      <c r="Q99" s="24">
        <f>IF($M99="","",IFERROR(VLOOKUP($M99,Recursos!$A$6:$H$105,5,FALSE),""))</f>
        <v/>
      </c>
      <c r="R99" s="26">
        <f>IF($M99="","",IFERROR(VLOOKUP($M99,Recursos!$A$6:$H$105,4,FALSE),""))</f>
        <v/>
      </c>
      <c r="S99" s="27">
        <f>IF($M99="","",IFERROR(VLOOKUP($M99,Recursos!$A$6:$H$105,6,FALSE),""))</f>
        <v/>
      </c>
      <c r="T99" s="27">
        <f>IF(OR($P99="",$S99=""),"",ROUND($P99*$S99,2))</f>
        <v/>
      </c>
      <c r="U99" s="18" t="n"/>
      <c r="V99" s="18" t="n"/>
      <c r="W99" s="18" t="n"/>
      <c r="X99" s="25" t="n"/>
      <c r="Y99" s="25" t="n"/>
      <c r="Z99" s="32" t="n"/>
      <c r="AA99" s="32" t="n"/>
      <c r="AB99" s="18" t="n"/>
      <c r="AC99" s="20" t="n"/>
      <c r="AD99" s="26">
        <f>IF($P99="","",MAX(0,$P99-N($X99)))</f>
        <v/>
      </c>
      <c r="AE99" s="23">
        <f>IF($A99="","",IF($M99="","Falta recurso",IF(IFERROR(VLOOKUP($M99,Recursos!$A$6:$H$105,7,FALSE),"No")&lt;&gt;"Sí","Recurso no activo",IF(OR($B99="",$H99="",$L99=""),"Faltan fecha u horarios",IF(OR($G99&gt;$H99,$H99&gt;$I99,$I99&gt;$J99,$J99&gt;$K99,$K99&gt;$L99),"Revisar secuencia horaria",IF(SUMPRODUCT(($B$6:$B$205=$B99)*($M$6:$M$205=$M99)*($H$6:$H$205&lt;$L99)*($L$6:$L$205&gt;$H99)*N($P$6:$P$205))&gt;N($R99),"Stock insuficiente",IF(AND($U99&lt;&gt;"",SUMPRODUCT(($B$6:$B$205=$B99)*($U$6:$U$205=$U99)*($A$6:$A$205&lt;&gt;$A99)*($H$6:$H$205&lt;$L99)*($L$6:$L$205&gt;$H99))&gt;0),"Vehículo solapado",IF(AND($Z99&lt;&gt;"",$J99&lt;&gt;"",$Z99&gt;$J99),"Entrega fuera de ventana",IF(AND($W99="Devuelto",N($Y99)&lt;N($X99)),"Devolución incompleta","")))))))))</f>
        <v/>
      </c>
      <c r="AF99" s="24">
        <f>IF($A99="","",IF(OR($B99="",$C99="",$D99="",$E99="",$H99="",$I99="",$J99="",$L99="",$M99="",$P99="",$U99="",$V99="",$W99=""),"Revisar",IF($AE99&lt;&gt;"","Revisar","Correcto")))</f>
        <v/>
      </c>
    </row>
    <row r="100">
      <c r="A100" s="18" t="n"/>
      <c r="B100" s="19" t="n"/>
      <c r="C100" s="20" t="n"/>
      <c r="D100" s="20" t="n"/>
      <c r="E100" s="18" t="n"/>
      <c r="F100" s="21" t="n"/>
      <c r="G100" s="32" t="n"/>
      <c r="H100" s="32" t="n"/>
      <c r="I100" s="32" t="n"/>
      <c r="J100" s="32" t="n"/>
      <c r="K100" s="32" t="n"/>
      <c r="L100" s="32" t="n"/>
      <c r="M100" s="18" t="n"/>
      <c r="N100" s="23">
        <f>IF($M100="","",IFERROR(VLOOKUP($M100,Recursos!$A$6:$H$105,3,FALSE),"Código no encontrado"))</f>
        <v/>
      </c>
      <c r="O100" s="24">
        <f>IF($M100="","",IFERROR(VLOOKUP($M100,Recursos!$A$6:$H$105,2,FALSE),""))</f>
        <v/>
      </c>
      <c r="P100" s="25" t="n"/>
      <c r="Q100" s="24">
        <f>IF($M100="","",IFERROR(VLOOKUP($M100,Recursos!$A$6:$H$105,5,FALSE),""))</f>
        <v/>
      </c>
      <c r="R100" s="26">
        <f>IF($M100="","",IFERROR(VLOOKUP($M100,Recursos!$A$6:$H$105,4,FALSE),""))</f>
        <v/>
      </c>
      <c r="S100" s="27">
        <f>IF($M100="","",IFERROR(VLOOKUP($M100,Recursos!$A$6:$H$105,6,FALSE),""))</f>
        <v/>
      </c>
      <c r="T100" s="27">
        <f>IF(OR($P100="",$S100=""),"",ROUND($P100*$S100,2))</f>
        <v/>
      </c>
      <c r="U100" s="18" t="n"/>
      <c r="V100" s="18" t="n"/>
      <c r="W100" s="18" t="n"/>
      <c r="X100" s="25" t="n"/>
      <c r="Y100" s="25" t="n"/>
      <c r="Z100" s="32" t="n"/>
      <c r="AA100" s="32" t="n"/>
      <c r="AB100" s="18" t="n"/>
      <c r="AC100" s="20" t="n"/>
      <c r="AD100" s="26">
        <f>IF($P100="","",MAX(0,$P100-N($X100)))</f>
        <v/>
      </c>
      <c r="AE100" s="23">
        <f>IF($A100="","",IF($M100="","Falta recurso",IF(IFERROR(VLOOKUP($M100,Recursos!$A$6:$H$105,7,FALSE),"No")&lt;&gt;"Sí","Recurso no activo",IF(OR($B100="",$H100="",$L100=""),"Faltan fecha u horarios",IF(OR($G100&gt;$H100,$H100&gt;$I100,$I100&gt;$J100,$J100&gt;$K100,$K100&gt;$L100),"Revisar secuencia horaria",IF(SUMPRODUCT(($B$6:$B$205=$B100)*($M$6:$M$205=$M100)*($H$6:$H$205&lt;$L100)*($L$6:$L$205&gt;$H100)*N($P$6:$P$205))&gt;N($R100),"Stock insuficiente",IF(AND($U100&lt;&gt;"",SUMPRODUCT(($B$6:$B$205=$B100)*($U$6:$U$205=$U100)*($A$6:$A$205&lt;&gt;$A100)*($H$6:$H$205&lt;$L100)*($L$6:$L$205&gt;$H100))&gt;0),"Vehículo solapado",IF(AND($Z100&lt;&gt;"",$J100&lt;&gt;"",$Z100&gt;$J100),"Entrega fuera de ventana",IF(AND($W100="Devuelto",N($Y100)&lt;N($X100)),"Devolución incompleta","")))))))))</f>
        <v/>
      </c>
      <c r="AF100" s="24">
        <f>IF($A100="","",IF(OR($B100="",$C100="",$D100="",$E100="",$H100="",$I100="",$J100="",$L100="",$M100="",$P100="",$U100="",$V100="",$W100=""),"Revisar",IF($AE100&lt;&gt;"","Revisar","Correcto")))</f>
        <v/>
      </c>
    </row>
    <row r="101">
      <c r="A101" s="18" t="n"/>
      <c r="B101" s="19" t="n"/>
      <c r="C101" s="20" t="n"/>
      <c r="D101" s="20" t="n"/>
      <c r="E101" s="18" t="n"/>
      <c r="F101" s="21" t="n"/>
      <c r="G101" s="32" t="n"/>
      <c r="H101" s="32" t="n"/>
      <c r="I101" s="32" t="n"/>
      <c r="J101" s="32" t="n"/>
      <c r="K101" s="32" t="n"/>
      <c r="L101" s="32" t="n"/>
      <c r="M101" s="18" t="n"/>
      <c r="N101" s="23">
        <f>IF($M101="","",IFERROR(VLOOKUP($M101,Recursos!$A$6:$H$105,3,FALSE),"Código no encontrado"))</f>
        <v/>
      </c>
      <c r="O101" s="24">
        <f>IF($M101="","",IFERROR(VLOOKUP($M101,Recursos!$A$6:$H$105,2,FALSE),""))</f>
        <v/>
      </c>
      <c r="P101" s="25" t="n"/>
      <c r="Q101" s="24">
        <f>IF($M101="","",IFERROR(VLOOKUP($M101,Recursos!$A$6:$H$105,5,FALSE),""))</f>
        <v/>
      </c>
      <c r="R101" s="26">
        <f>IF($M101="","",IFERROR(VLOOKUP($M101,Recursos!$A$6:$H$105,4,FALSE),""))</f>
        <v/>
      </c>
      <c r="S101" s="27">
        <f>IF($M101="","",IFERROR(VLOOKUP($M101,Recursos!$A$6:$H$105,6,FALSE),""))</f>
        <v/>
      </c>
      <c r="T101" s="27">
        <f>IF(OR($P101="",$S101=""),"",ROUND($P101*$S101,2))</f>
        <v/>
      </c>
      <c r="U101" s="18" t="n"/>
      <c r="V101" s="18" t="n"/>
      <c r="W101" s="18" t="n"/>
      <c r="X101" s="25" t="n"/>
      <c r="Y101" s="25" t="n"/>
      <c r="Z101" s="32" t="n"/>
      <c r="AA101" s="32" t="n"/>
      <c r="AB101" s="18" t="n"/>
      <c r="AC101" s="20" t="n"/>
      <c r="AD101" s="26">
        <f>IF($P101="","",MAX(0,$P101-N($X101)))</f>
        <v/>
      </c>
      <c r="AE101" s="23">
        <f>IF($A101="","",IF($M101="","Falta recurso",IF(IFERROR(VLOOKUP($M101,Recursos!$A$6:$H$105,7,FALSE),"No")&lt;&gt;"Sí","Recurso no activo",IF(OR($B101="",$H101="",$L101=""),"Faltan fecha u horarios",IF(OR($G101&gt;$H101,$H101&gt;$I101,$I101&gt;$J101,$J101&gt;$K101,$K101&gt;$L101),"Revisar secuencia horaria",IF(SUMPRODUCT(($B$6:$B$205=$B101)*($M$6:$M$205=$M101)*($H$6:$H$205&lt;$L101)*($L$6:$L$205&gt;$H101)*N($P$6:$P$205))&gt;N($R101),"Stock insuficiente",IF(AND($U101&lt;&gt;"",SUMPRODUCT(($B$6:$B$205=$B101)*($U$6:$U$205=$U101)*($A$6:$A$205&lt;&gt;$A101)*($H$6:$H$205&lt;$L101)*($L$6:$L$205&gt;$H101))&gt;0),"Vehículo solapado",IF(AND($Z101&lt;&gt;"",$J101&lt;&gt;"",$Z101&gt;$J101),"Entrega fuera de ventana",IF(AND($W101="Devuelto",N($Y101)&lt;N($X101)),"Devolución incompleta","")))))))))</f>
        <v/>
      </c>
      <c r="AF101" s="24">
        <f>IF($A101="","",IF(OR($B101="",$C101="",$D101="",$E101="",$H101="",$I101="",$J101="",$L101="",$M101="",$P101="",$U101="",$V101="",$W101=""),"Revisar",IF($AE101&lt;&gt;"","Revisar","Correcto")))</f>
        <v/>
      </c>
    </row>
    <row r="102">
      <c r="A102" s="18" t="n"/>
      <c r="B102" s="19" t="n"/>
      <c r="C102" s="20" t="n"/>
      <c r="D102" s="20" t="n"/>
      <c r="E102" s="18" t="n"/>
      <c r="F102" s="21" t="n"/>
      <c r="G102" s="32" t="n"/>
      <c r="H102" s="32" t="n"/>
      <c r="I102" s="32" t="n"/>
      <c r="J102" s="32" t="n"/>
      <c r="K102" s="32" t="n"/>
      <c r="L102" s="32" t="n"/>
      <c r="M102" s="18" t="n"/>
      <c r="N102" s="23">
        <f>IF($M102="","",IFERROR(VLOOKUP($M102,Recursos!$A$6:$H$105,3,FALSE),"Código no encontrado"))</f>
        <v/>
      </c>
      <c r="O102" s="24">
        <f>IF($M102="","",IFERROR(VLOOKUP($M102,Recursos!$A$6:$H$105,2,FALSE),""))</f>
        <v/>
      </c>
      <c r="P102" s="25" t="n"/>
      <c r="Q102" s="24">
        <f>IF($M102="","",IFERROR(VLOOKUP($M102,Recursos!$A$6:$H$105,5,FALSE),""))</f>
        <v/>
      </c>
      <c r="R102" s="26">
        <f>IF($M102="","",IFERROR(VLOOKUP($M102,Recursos!$A$6:$H$105,4,FALSE),""))</f>
        <v/>
      </c>
      <c r="S102" s="27">
        <f>IF($M102="","",IFERROR(VLOOKUP($M102,Recursos!$A$6:$H$105,6,FALSE),""))</f>
        <v/>
      </c>
      <c r="T102" s="27">
        <f>IF(OR($P102="",$S102=""),"",ROUND($P102*$S102,2))</f>
        <v/>
      </c>
      <c r="U102" s="18" t="n"/>
      <c r="V102" s="18" t="n"/>
      <c r="W102" s="18" t="n"/>
      <c r="X102" s="25" t="n"/>
      <c r="Y102" s="25" t="n"/>
      <c r="Z102" s="32" t="n"/>
      <c r="AA102" s="32" t="n"/>
      <c r="AB102" s="18" t="n"/>
      <c r="AC102" s="20" t="n"/>
      <c r="AD102" s="26">
        <f>IF($P102="","",MAX(0,$P102-N($X102)))</f>
        <v/>
      </c>
      <c r="AE102" s="23">
        <f>IF($A102="","",IF($M102="","Falta recurso",IF(IFERROR(VLOOKUP($M102,Recursos!$A$6:$H$105,7,FALSE),"No")&lt;&gt;"Sí","Recurso no activo",IF(OR($B102="",$H102="",$L102=""),"Faltan fecha u horarios",IF(OR($G102&gt;$H102,$H102&gt;$I102,$I102&gt;$J102,$J102&gt;$K102,$K102&gt;$L102),"Revisar secuencia horaria",IF(SUMPRODUCT(($B$6:$B$205=$B102)*($M$6:$M$205=$M102)*($H$6:$H$205&lt;$L102)*($L$6:$L$205&gt;$H102)*N($P$6:$P$205))&gt;N($R102),"Stock insuficiente",IF(AND($U102&lt;&gt;"",SUMPRODUCT(($B$6:$B$205=$B102)*($U$6:$U$205=$U102)*($A$6:$A$205&lt;&gt;$A102)*($H$6:$H$205&lt;$L102)*($L$6:$L$205&gt;$H102))&gt;0),"Vehículo solapado",IF(AND($Z102&lt;&gt;"",$J102&lt;&gt;"",$Z102&gt;$J102),"Entrega fuera de ventana",IF(AND($W102="Devuelto",N($Y102)&lt;N($X102)),"Devolución incompleta","")))))))))</f>
        <v/>
      </c>
      <c r="AF102" s="24">
        <f>IF($A102="","",IF(OR($B102="",$C102="",$D102="",$E102="",$H102="",$I102="",$J102="",$L102="",$M102="",$P102="",$U102="",$V102="",$W102=""),"Revisar",IF($AE102&lt;&gt;"","Revisar","Correcto")))</f>
        <v/>
      </c>
    </row>
    <row r="103">
      <c r="A103" s="18" t="n"/>
      <c r="B103" s="19" t="n"/>
      <c r="C103" s="20" t="n"/>
      <c r="D103" s="20" t="n"/>
      <c r="E103" s="18" t="n"/>
      <c r="F103" s="21" t="n"/>
      <c r="G103" s="32" t="n"/>
      <c r="H103" s="32" t="n"/>
      <c r="I103" s="32" t="n"/>
      <c r="J103" s="32" t="n"/>
      <c r="K103" s="32" t="n"/>
      <c r="L103" s="32" t="n"/>
      <c r="M103" s="18" t="n"/>
      <c r="N103" s="23">
        <f>IF($M103="","",IFERROR(VLOOKUP($M103,Recursos!$A$6:$H$105,3,FALSE),"Código no encontrado"))</f>
        <v/>
      </c>
      <c r="O103" s="24">
        <f>IF($M103="","",IFERROR(VLOOKUP($M103,Recursos!$A$6:$H$105,2,FALSE),""))</f>
        <v/>
      </c>
      <c r="P103" s="25" t="n"/>
      <c r="Q103" s="24">
        <f>IF($M103="","",IFERROR(VLOOKUP($M103,Recursos!$A$6:$H$105,5,FALSE),""))</f>
        <v/>
      </c>
      <c r="R103" s="26">
        <f>IF($M103="","",IFERROR(VLOOKUP($M103,Recursos!$A$6:$H$105,4,FALSE),""))</f>
        <v/>
      </c>
      <c r="S103" s="27">
        <f>IF($M103="","",IFERROR(VLOOKUP($M103,Recursos!$A$6:$H$105,6,FALSE),""))</f>
        <v/>
      </c>
      <c r="T103" s="27">
        <f>IF(OR($P103="",$S103=""),"",ROUND($P103*$S103,2))</f>
        <v/>
      </c>
      <c r="U103" s="18" t="n"/>
      <c r="V103" s="18" t="n"/>
      <c r="W103" s="18" t="n"/>
      <c r="X103" s="25" t="n"/>
      <c r="Y103" s="25" t="n"/>
      <c r="Z103" s="32" t="n"/>
      <c r="AA103" s="32" t="n"/>
      <c r="AB103" s="18" t="n"/>
      <c r="AC103" s="20" t="n"/>
      <c r="AD103" s="26">
        <f>IF($P103="","",MAX(0,$P103-N($X103)))</f>
        <v/>
      </c>
      <c r="AE103" s="23">
        <f>IF($A103="","",IF($M103="","Falta recurso",IF(IFERROR(VLOOKUP($M103,Recursos!$A$6:$H$105,7,FALSE),"No")&lt;&gt;"Sí","Recurso no activo",IF(OR($B103="",$H103="",$L103=""),"Faltan fecha u horarios",IF(OR($G103&gt;$H103,$H103&gt;$I103,$I103&gt;$J103,$J103&gt;$K103,$K103&gt;$L103),"Revisar secuencia horaria",IF(SUMPRODUCT(($B$6:$B$205=$B103)*($M$6:$M$205=$M103)*($H$6:$H$205&lt;$L103)*($L$6:$L$205&gt;$H103)*N($P$6:$P$205))&gt;N($R103),"Stock insuficiente",IF(AND($U103&lt;&gt;"",SUMPRODUCT(($B$6:$B$205=$B103)*($U$6:$U$205=$U103)*($A$6:$A$205&lt;&gt;$A103)*($H$6:$H$205&lt;$L103)*($L$6:$L$205&gt;$H103))&gt;0),"Vehículo solapado",IF(AND($Z103&lt;&gt;"",$J103&lt;&gt;"",$Z103&gt;$J103),"Entrega fuera de ventana",IF(AND($W103="Devuelto",N($Y103)&lt;N($X103)),"Devolución incompleta","")))))))))</f>
        <v/>
      </c>
      <c r="AF103" s="24">
        <f>IF($A103="","",IF(OR($B103="",$C103="",$D103="",$E103="",$H103="",$I103="",$J103="",$L103="",$M103="",$P103="",$U103="",$V103="",$W103=""),"Revisar",IF($AE103&lt;&gt;"","Revisar","Correcto")))</f>
        <v/>
      </c>
    </row>
    <row r="104">
      <c r="A104" s="18" t="n"/>
      <c r="B104" s="19" t="n"/>
      <c r="C104" s="20" t="n"/>
      <c r="D104" s="20" t="n"/>
      <c r="E104" s="18" t="n"/>
      <c r="F104" s="21" t="n"/>
      <c r="G104" s="32" t="n"/>
      <c r="H104" s="32" t="n"/>
      <c r="I104" s="32" t="n"/>
      <c r="J104" s="32" t="n"/>
      <c r="K104" s="32" t="n"/>
      <c r="L104" s="32" t="n"/>
      <c r="M104" s="18" t="n"/>
      <c r="N104" s="23">
        <f>IF($M104="","",IFERROR(VLOOKUP($M104,Recursos!$A$6:$H$105,3,FALSE),"Código no encontrado"))</f>
        <v/>
      </c>
      <c r="O104" s="24">
        <f>IF($M104="","",IFERROR(VLOOKUP($M104,Recursos!$A$6:$H$105,2,FALSE),""))</f>
        <v/>
      </c>
      <c r="P104" s="25" t="n"/>
      <c r="Q104" s="24">
        <f>IF($M104="","",IFERROR(VLOOKUP($M104,Recursos!$A$6:$H$105,5,FALSE),""))</f>
        <v/>
      </c>
      <c r="R104" s="26">
        <f>IF($M104="","",IFERROR(VLOOKUP($M104,Recursos!$A$6:$H$105,4,FALSE),""))</f>
        <v/>
      </c>
      <c r="S104" s="27">
        <f>IF($M104="","",IFERROR(VLOOKUP($M104,Recursos!$A$6:$H$105,6,FALSE),""))</f>
        <v/>
      </c>
      <c r="T104" s="27">
        <f>IF(OR($P104="",$S104=""),"",ROUND($P104*$S104,2))</f>
        <v/>
      </c>
      <c r="U104" s="18" t="n"/>
      <c r="V104" s="18" t="n"/>
      <c r="W104" s="18" t="n"/>
      <c r="X104" s="25" t="n"/>
      <c r="Y104" s="25" t="n"/>
      <c r="Z104" s="32" t="n"/>
      <c r="AA104" s="32" t="n"/>
      <c r="AB104" s="18" t="n"/>
      <c r="AC104" s="20" t="n"/>
      <c r="AD104" s="26">
        <f>IF($P104="","",MAX(0,$P104-N($X104)))</f>
        <v/>
      </c>
      <c r="AE104" s="23">
        <f>IF($A104="","",IF($M104="","Falta recurso",IF(IFERROR(VLOOKUP($M104,Recursos!$A$6:$H$105,7,FALSE),"No")&lt;&gt;"Sí","Recurso no activo",IF(OR($B104="",$H104="",$L104=""),"Faltan fecha u horarios",IF(OR($G104&gt;$H104,$H104&gt;$I104,$I104&gt;$J104,$J104&gt;$K104,$K104&gt;$L104),"Revisar secuencia horaria",IF(SUMPRODUCT(($B$6:$B$205=$B104)*($M$6:$M$205=$M104)*($H$6:$H$205&lt;$L104)*($L$6:$L$205&gt;$H104)*N($P$6:$P$205))&gt;N($R104),"Stock insuficiente",IF(AND($U104&lt;&gt;"",SUMPRODUCT(($B$6:$B$205=$B104)*($U$6:$U$205=$U104)*($A$6:$A$205&lt;&gt;$A104)*($H$6:$H$205&lt;$L104)*($L$6:$L$205&gt;$H104))&gt;0),"Vehículo solapado",IF(AND($Z104&lt;&gt;"",$J104&lt;&gt;"",$Z104&gt;$J104),"Entrega fuera de ventana",IF(AND($W104="Devuelto",N($Y104)&lt;N($X104)),"Devolución incompleta","")))))))))</f>
        <v/>
      </c>
      <c r="AF104" s="24">
        <f>IF($A104="","",IF(OR($B104="",$C104="",$D104="",$E104="",$H104="",$I104="",$J104="",$L104="",$M104="",$P104="",$U104="",$V104="",$W104=""),"Revisar",IF($AE104&lt;&gt;"","Revisar","Correcto")))</f>
        <v/>
      </c>
    </row>
    <row r="105">
      <c r="A105" s="18" t="n"/>
      <c r="B105" s="19" t="n"/>
      <c r="C105" s="20" t="n"/>
      <c r="D105" s="20" t="n"/>
      <c r="E105" s="18" t="n"/>
      <c r="F105" s="21" t="n"/>
      <c r="G105" s="32" t="n"/>
      <c r="H105" s="32" t="n"/>
      <c r="I105" s="32" t="n"/>
      <c r="J105" s="32" t="n"/>
      <c r="K105" s="32" t="n"/>
      <c r="L105" s="32" t="n"/>
      <c r="M105" s="18" t="n"/>
      <c r="N105" s="23">
        <f>IF($M105="","",IFERROR(VLOOKUP($M105,Recursos!$A$6:$H$105,3,FALSE),"Código no encontrado"))</f>
        <v/>
      </c>
      <c r="O105" s="24">
        <f>IF($M105="","",IFERROR(VLOOKUP($M105,Recursos!$A$6:$H$105,2,FALSE),""))</f>
        <v/>
      </c>
      <c r="P105" s="25" t="n"/>
      <c r="Q105" s="24">
        <f>IF($M105="","",IFERROR(VLOOKUP($M105,Recursos!$A$6:$H$105,5,FALSE),""))</f>
        <v/>
      </c>
      <c r="R105" s="26">
        <f>IF($M105="","",IFERROR(VLOOKUP($M105,Recursos!$A$6:$H$105,4,FALSE),""))</f>
        <v/>
      </c>
      <c r="S105" s="27">
        <f>IF($M105="","",IFERROR(VLOOKUP($M105,Recursos!$A$6:$H$105,6,FALSE),""))</f>
        <v/>
      </c>
      <c r="T105" s="27">
        <f>IF(OR($P105="",$S105=""),"",ROUND($P105*$S105,2))</f>
        <v/>
      </c>
      <c r="U105" s="18" t="n"/>
      <c r="V105" s="18" t="n"/>
      <c r="W105" s="18" t="n"/>
      <c r="X105" s="25" t="n"/>
      <c r="Y105" s="25" t="n"/>
      <c r="Z105" s="32" t="n"/>
      <c r="AA105" s="32" t="n"/>
      <c r="AB105" s="18" t="n"/>
      <c r="AC105" s="20" t="n"/>
      <c r="AD105" s="26">
        <f>IF($P105="","",MAX(0,$P105-N($X105)))</f>
        <v/>
      </c>
      <c r="AE105" s="23">
        <f>IF($A105="","",IF($M105="","Falta recurso",IF(IFERROR(VLOOKUP($M105,Recursos!$A$6:$H$105,7,FALSE),"No")&lt;&gt;"Sí","Recurso no activo",IF(OR($B105="",$H105="",$L105=""),"Faltan fecha u horarios",IF(OR($G105&gt;$H105,$H105&gt;$I105,$I105&gt;$J105,$J105&gt;$K105,$K105&gt;$L105),"Revisar secuencia horaria",IF(SUMPRODUCT(($B$6:$B$205=$B105)*($M$6:$M$205=$M105)*($H$6:$H$205&lt;$L105)*($L$6:$L$205&gt;$H105)*N($P$6:$P$205))&gt;N($R105),"Stock insuficiente",IF(AND($U105&lt;&gt;"",SUMPRODUCT(($B$6:$B$205=$B105)*($U$6:$U$205=$U105)*($A$6:$A$205&lt;&gt;$A105)*($H$6:$H$205&lt;$L105)*($L$6:$L$205&gt;$H105))&gt;0),"Vehículo solapado",IF(AND($Z105&lt;&gt;"",$J105&lt;&gt;"",$Z105&gt;$J105),"Entrega fuera de ventana",IF(AND($W105="Devuelto",N($Y105)&lt;N($X105)),"Devolución incompleta","")))))))))</f>
        <v/>
      </c>
      <c r="AF105" s="24">
        <f>IF($A105="","",IF(OR($B105="",$C105="",$D105="",$E105="",$H105="",$I105="",$J105="",$L105="",$M105="",$P105="",$U105="",$V105="",$W105=""),"Revisar",IF($AE105&lt;&gt;"","Revisar","Correcto")))</f>
        <v/>
      </c>
    </row>
    <row r="106">
      <c r="A106" s="18" t="n"/>
      <c r="B106" s="19" t="n"/>
      <c r="C106" s="20" t="n"/>
      <c r="D106" s="20" t="n"/>
      <c r="E106" s="18" t="n"/>
      <c r="F106" s="21" t="n"/>
      <c r="G106" s="32" t="n"/>
      <c r="H106" s="32" t="n"/>
      <c r="I106" s="32" t="n"/>
      <c r="J106" s="32" t="n"/>
      <c r="K106" s="32" t="n"/>
      <c r="L106" s="32" t="n"/>
      <c r="M106" s="18" t="n"/>
      <c r="N106" s="23">
        <f>IF($M106="","",IFERROR(VLOOKUP($M106,Recursos!$A$6:$H$105,3,FALSE),"Código no encontrado"))</f>
        <v/>
      </c>
      <c r="O106" s="24">
        <f>IF($M106="","",IFERROR(VLOOKUP($M106,Recursos!$A$6:$H$105,2,FALSE),""))</f>
        <v/>
      </c>
      <c r="P106" s="25" t="n"/>
      <c r="Q106" s="24">
        <f>IF($M106="","",IFERROR(VLOOKUP($M106,Recursos!$A$6:$H$105,5,FALSE),""))</f>
        <v/>
      </c>
      <c r="R106" s="26">
        <f>IF($M106="","",IFERROR(VLOOKUP($M106,Recursos!$A$6:$H$105,4,FALSE),""))</f>
        <v/>
      </c>
      <c r="S106" s="27">
        <f>IF($M106="","",IFERROR(VLOOKUP($M106,Recursos!$A$6:$H$105,6,FALSE),""))</f>
        <v/>
      </c>
      <c r="T106" s="27">
        <f>IF(OR($P106="",$S106=""),"",ROUND($P106*$S106,2))</f>
        <v/>
      </c>
      <c r="U106" s="18" t="n"/>
      <c r="V106" s="18" t="n"/>
      <c r="W106" s="18" t="n"/>
      <c r="X106" s="25" t="n"/>
      <c r="Y106" s="25" t="n"/>
      <c r="Z106" s="32" t="n"/>
      <c r="AA106" s="32" t="n"/>
      <c r="AB106" s="18" t="n"/>
      <c r="AC106" s="20" t="n"/>
      <c r="AD106" s="26">
        <f>IF($P106="","",MAX(0,$P106-N($X106)))</f>
        <v/>
      </c>
      <c r="AE106" s="23">
        <f>IF($A106="","",IF($M106="","Falta recurso",IF(IFERROR(VLOOKUP($M106,Recursos!$A$6:$H$105,7,FALSE),"No")&lt;&gt;"Sí","Recurso no activo",IF(OR($B106="",$H106="",$L106=""),"Faltan fecha u horarios",IF(OR($G106&gt;$H106,$H106&gt;$I106,$I106&gt;$J106,$J106&gt;$K106,$K106&gt;$L106),"Revisar secuencia horaria",IF(SUMPRODUCT(($B$6:$B$205=$B106)*($M$6:$M$205=$M106)*($H$6:$H$205&lt;$L106)*($L$6:$L$205&gt;$H106)*N($P$6:$P$205))&gt;N($R106),"Stock insuficiente",IF(AND($U106&lt;&gt;"",SUMPRODUCT(($B$6:$B$205=$B106)*($U$6:$U$205=$U106)*($A$6:$A$205&lt;&gt;$A106)*($H$6:$H$205&lt;$L106)*($L$6:$L$205&gt;$H106))&gt;0),"Vehículo solapado",IF(AND($Z106&lt;&gt;"",$J106&lt;&gt;"",$Z106&gt;$J106),"Entrega fuera de ventana",IF(AND($W106="Devuelto",N($Y106)&lt;N($X106)),"Devolución incompleta","")))))))))</f>
        <v/>
      </c>
      <c r="AF106" s="24">
        <f>IF($A106="","",IF(OR($B106="",$C106="",$D106="",$E106="",$H106="",$I106="",$J106="",$L106="",$M106="",$P106="",$U106="",$V106="",$W106=""),"Revisar",IF($AE106&lt;&gt;"","Revisar","Correcto")))</f>
        <v/>
      </c>
    </row>
    <row r="107">
      <c r="A107" s="18" t="n"/>
      <c r="B107" s="19" t="n"/>
      <c r="C107" s="20" t="n"/>
      <c r="D107" s="20" t="n"/>
      <c r="E107" s="18" t="n"/>
      <c r="F107" s="21" t="n"/>
      <c r="G107" s="32" t="n"/>
      <c r="H107" s="32" t="n"/>
      <c r="I107" s="32" t="n"/>
      <c r="J107" s="32" t="n"/>
      <c r="K107" s="32" t="n"/>
      <c r="L107" s="32" t="n"/>
      <c r="M107" s="18" t="n"/>
      <c r="N107" s="23">
        <f>IF($M107="","",IFERROR(VLOOKUP($M107,Recursos!$A$6:$H$105,3,FALSE),"Código no encontrado"))</f>
        <v/>
      </c>
      <c r="O107" s="24">
        <f>IF($M107="","",IFERROR(VLOOKUP($M107,Recursos!$A$6:$H$105,2,FALSE),""))</f>
        <v/>
      </c>
      <c r="P107" s="25" t="n"/>
      <c r="Q107" s="24">
        <f>IF($M107="","",IFERROR(VLOOKUP($M107,Recursos!$A$6:$H$105,5,FALSE),""))</f>
        <v/>
      </c>
      <c r="R107" s="26">
        <f>IF($M107="","",IFERROR(VLOOKUP($M107,Recursos!$A$6:$H$105,4,FALSE),""))</f>
        <v/>
      </c>
      <c r="S107" s="27">
        <f>IF($M107="","",IFERROR(VLOOKUP($M107,Recursos!$A$6:$H$105,6,FALSE),""))</f>
        <v/>
      </c>
      <c r="T107" s="27">
        <f>IF(OR($P107="",$S107=""),"",ROUND($P107*$S107,2))</f>
        <v/>
      </c>
      <c r="U107" s="18" t="n"/>
      <c r="V107" s="18" t="n"/>
      <c r="W107" s="18" t="n"/>
      <c r="X107" s="25" t="n"/>
      <c r="Y107" s="25" t="n"/>
      <c r="Z107" s="32" t="n"/>
      <c r="AA107" s="32" t="n"/>
      <c r="AB107" s="18" t="n"/>
      <c r="AC107" s="20" t="n"/>
      <c r="AD107" s="26">
        <f>IF($P107="","",MAX(0,$P107-N($X107)))</f>
        <v/>
      </c>
      <c r="AE107" s="23">
        <f>IF($A107="","",IF($M107="","Falta recurso",IF(IFERROR(VLOOKUP($M107,Recursos!$A$6:$H$105,7,FALSE),"No")&lt;&gt;"Sí","Recurso no activo",IF(OR($B107="",$H107="",$L107=""),"Faltan fecha u horarios",IF(OR($G107&gt;$H107,$H107&gt;$I107,$I107&gt;$J107,$J107&gt;$K107,$K107&gt;$L107),"Revisar secuencia horaria",IF(SUMPRODUCT(($B$6:$B$205=$B107)*($M$6:$M$205=$M107)*($H$6:$H$205&lt;$L107)*($L$6:$L$205&gt;$H107)*N($P$6:$P$205))&gt;N($R107),"Stock insuficiente",IF(AND($U107&lt;&gt;"",SUMPRODUCT(($B$6:$B$205=$B107)*($U$6:$U$205=$U107)*($A$6:$A$205&lt;&gt;$A107)*($H$6:$H$205&lt;$L107)*($L$6:$L$205&gt;$H107))&gt;0),"Vehículo solapado",IF(AND($Z107&lt;&gt;"",$J107&lt;&gt;"",$Z107&gt;$J107),"Entrega fuera de ventana",IF(AND($W107="Devuelto",N($Y107)&lt;N($X107)),"Devolución incompleta","")))))))))</f>
        <v/>
      </c>
      <c r="AF107" s="24">
        <f>IF($A107="","",IF(OR($B107="",$C107="",$D107="",$E107="",$H107="",$I107="",$J107="",$L107="",$M107="",$P107="",$U107="",$V107="",$W107=""),"Revisar",IF($AE107&lt;&gt;"","Revisar","Correcto")))</f>
        <v/>
      </c>
    </row>
    <row r="108">
      <c r="A108" s="18" t="n"/>
      <c r="B108" s="19" t="n"/>
      <c r="C108" s="20" t="n"/>
      <c r="D108" s="20" t="n"/>
      <c r="E108" s="18" t="n"/>
      <c r="F108" s="21" t="n"/>
      <c r="G108" s="32" t="n"/>
      <c r="H108" s="32" t="n"/>
      <c r="I108" s="32" t="n"/>
      <c r="J108" s="32" t="n"/>
      <c r="K108" s="32" t="n"/>
      <c r="L108" s="32" t="n"/>
      <c r="M108" s="18" t="n"/>
      <c r="N108" s="23">
        <f>IF($M108="","",IFERROR(VLOOKUP($M108,Recursos!$A$6:$H$105,3,FALSE),"Código no encontrado"))</f>
        <v/>
      </c>
      <c r="O108" s="24">
        <f>IF($M108="","",IFERROR(VLOOKUP($M108,Recursos!$A$6:$H$105,2,FALSE),""))</f>
        <v/>
      </c>
      <c r="P108" s="25" t="n"/>
      <c r="Q108" s="24">
        <f>IF($M108="","",IFERROR(VLOOKUP($M108,Recursos!$A$6:$H$105,5,FALSE),""))</f>
        <v/>
      </c>
      <c r="R108" s="26">
        <f>IF($M108="","",IFERROR(VLOOKUP($M108,Recursos!$A$6:$H$105,4,FALSE),""))</f>
        <v/>
      </c>
      <c r="S108" s="27">
        <f>IF($M108="","",IFERROR(VLOOKUP($M108,Recursos!$A$6:$H$105,6,FALSE),""))</f>
        <v/>
      </c>
      <c r="T108" s="27">
        <f>IF(OR($P108="",$S108=""),"",ROUND($P108*$S108,2))</f>
        <v/>
      </c>
      <c r="U108" s="18" t="n"/>
      <c r="V108" s="18" t="n"/>
      <c r="W108" s="18" t="n"/>
      <c r="X108" s="25" t="n"/>
      <c r="Y108" s="25" t="n"/>
      <c r="Z108" s="32" t="n"/>
      <c r="AA108" s="32" t="n"/>
      <c r="AB108" s="18" t="n"/>
      <c r="AC108" s="20" t="n"/>
      <c r="AD108" s="26">
        <f>IF($P108="","",MAX(0,$P108-N($X108)))</f>
        <v/>
      </c>
      <c r="AE108" s="23">
        <f>IF($A108="","",IF($M108="","Falta recurso",IF(IFERROR(VLOOKUP($M108,Recursos!$A$6:$H$105,7,FALSE),"No")&lt;&gt;"Sí","Recurso no activo",IF(OR($B108="",$H108="",$L108=""),"Faltan fecha u horarios",IF(OR($G108&gt;$H108,$H108&gt;$I108,$I108&gt;$J108,$J108&gt;$K108,$K108&gt;$L108),"Revisar secuencia horaria",IF(SUMPRODUCT(($B$6:$B$205=$B108)*($M$6:$M$205=$M108)*($H$6:$H$205&lt;$L108)*($L$6:$L$205&gt;$H108)*N($P$6:$P$205))&gt;N($R108),"Stock insuficiente",IF(AND($U108&lt;&gt;"",SUMPRODUCT(($B$6:$B$205=$B108)*($U$6:$U$205=$U108)*($A$6:$A$205&lt;&gt;$A108)*($H$6:$H$205&lt;$L108)*($L$6:$L$205&gt;$H108))&gt;0),"Vehículo solapado",IF(AND($Z108&lt;&gt;"",$J108&lt;&gt;"",$Z108&gt;$J108),"Entrega fuera de ventana",IF(AND($W108="Devuelto",N($Y108)&lt;N($X108)),"Devolución incompleta","")))))))))</f>
        <v/>
      </c>
      <c r="AF108" s="24">
        <f>IF($A108="","",IF(OR($B108="",$C108="",$D108="",$E108="",$H108="",$I108="",$J108="",$L108="",$M108="",$P108="",$U108="",$V108="",$W108=""),"Revisar",IF($AE108&lt;&gt;"","Revisar","Correcto")))</f>
        <v/>
      </c>
    </row>
    <row r="109">
      <c r="A109" s="18" t="n"/>
      <c r="B109" s="19" t="n"/>
      <c r="C109" s="20" t="n"/>
      <c r="D109" s="20" t="n"/>
      <c r="E109" s="18" t="n"/>
      <c r="F109" s="21" t="n"/>
      <c r="G109" s="32" t="n"/>
      <c r="H109" s="32" t="n"/>
      <c r="I109" s="32" t="n"/>
      <c r="J109" s="32" t="n"/>
      <c r="K109" s="32" t="n"/>
      <c r="L109" s="32" t="n"/>
      <c r="M109" s="18" t="n"/>
      <c r="N109" s="23">
        <f>IF($M109="","",IFERROR(VLOOKUP($M109,Recursos!$A$6:$H$105,3,FALSE),"Código no encontrado"))</f>
        <v/>
      </c>
      <c r="O109" s="24">
        <f>IF($M109="","",IFERROR(VLOOKUP($M109,Recursos!$A$6:$H$105,2,FALSE),""))</f>
        <v/>
      </c>
      <c r="P109" s="25" t="n"/>
      <c r="Q109" s="24">
        <f>IF($M109="","",IFERROR(VLOOKUP($M109,Recursos!$A$6:$H$105,5,FALSE),""))</f>
        <v/>
      </c>
      <c r="R109" s="26">
        <f>IF($M109="","",IFERROR(VLOOKUP($M109,Recursos!$A$6:$H$105,4,FALSE),""))</f>
        <v/>
      </c>
      <c r="S109" s="27">
        <f>IF($M109="","",IFERROR(VLOOKUP($M109,Recursos!$A$6:$H$105,6,FALSE),""))</f>
        <v/>
      </c>
      <c r="T109" s="27">
        <f>IF(OR($P109="",$S109=""),"",ROUND($P109*$S109,2))</f>
        <v/>
      </c>
      <c r="U109" s="18" t="n"/>
      <c r="V109" s="18" t="n"/>
      <c r="W109" s="18" t="n"/>
      <c r="X109" s="25" t="n"/>
      <c r="Y109" s="25" t="n"/>
      <c r="Z109" s="32" t="n"/>
      <c r="AA109" s="32" t="n"/>
      <c r="AB109" s="18" t="n"/>
      <c r="AC109" s="20" t="n"/>
      <c r="AD109" s="26">
        <f>IF($P109="","",MAX(0,$P109-N($X109)))</f>
        <v/>
      </c>
      <c r="AE109" s="23">
        <f>IF($A109="","",IF($M109="","Falta recurso",IF(IFERROR(VLOOKUP($M109,Recursos!$A$6:$H$105,7,FALSE),"No")&lt;&gt;"Sí","Recurso no activo",IF(OR($B109="",$H109="",$L109=""),"Faltan fecha u horarios",IF(OR($G109&gt;$H109,$H109&gt;$I109,$I109&gt;$J109,$J109&gt;$K109,$K109&gt;$L109),"Revisar secuencia horaria",IF(SUMPRODUCT(($B$6:$B$205=$B109)*($M$6:$M$205=$M109)*($H$6:$H$205&lt;$L109)*($L$6:$L$205&gt;$H109)*N($P$6:$P$205))&gt;N($R109),"Stock insuficiente",IF(AND($U109&lt;&gt;"",SUMPRODUCT(($B$6:$B$205=$B109)*($U$6:$U$205=$U109)*($A$6:$A$205&lt;&gt;$A109)*($H$6:$H$205&lt;$L109)*($L$6:$L$205&gt;$H109))&gt;0),"Vehículo solapado",IF(AND($Z109&lt;&gt;"",$J109&lt;&gt;"",$Z109&gt;$J109),"Entrega fuera de ventana",IF(AND($W109="Devuelto",N($Y109)&lt;N($X109)),"Devolución incompleta","")))))))))</f>
        <v/>
      </c>
      <c r="AF109" s="24">
        <f>IF($A109="","",IF(OR($B109="",$C109="",$D109="",$E109="",$H109="",$I109="",$J109="",$L109="",$M109="",$P109="",$U109="",$V109="",$W109=""),"Revisar",IF($AE109&lt;&gt;"","Revisar","Correcto")))</f>
        <v/>
      </c>
    </row>
    <row r="110">
      <c r="A110" s="18" t="n"/>
      <c r="B110" s="19" t="n"/>
      <c r="C110" s="20" t="n"/>
      <c r="D110" s="20" t="n"/>
      <c r="E110" s="18" t="n"/>
      <c r="F110" s="21" t="n"/>
      <c r="G110" s="32" t="n"/>
      <c r="H110" s="32" t="n"/>
      <c r="I110" s="32" t="n"/>
      <c r="J110" s="32" t="n"/>
      <c r="K110" s="32" t="n"/>
      <c r="L110" s="32" t="n"/>
      <c r="M110" s="18" t="n"/>
      <c r="N110" s="23">
        <f>IF($M110="","",IFERROR(VLOOKUP($M110,Recursos!$A$6:$H$105,3,FALSE),"Código no encontrado"))</f>
        <v/>
      </c>
      <c r="O110" s="24">
        <f>IF($M110="","",IFERROR(VLOOKUP($M110,Recursos!$A$6:$H$105,2,FALSE),""))</f>
        <v/>
      </c>
      <c r="P110" s="25" t="n"/>
      <c r="Q110" s="24">
        <f>IF($M110="","",IFERROR(VLOOKUP($M110,Recursos!$A$6:$H$105,5,FALSE),""))</f>
        <v/>
      </c>
      <c r="R110" s="26">
        <f>IF($M110="","",IFERROR(VLOOKUP($M110,Recursos!$A$6:$H$105,4,FALSE),""))</f>
        <v/>
      </c>
      <c r="S110" s="27">
        <f>IF($M110="","",IFERROR(VLOOKUP($M110,Recursos!$A$6:$H$105,6,FALSE),""))</f>
        <v/>
      </c>
      <c r="T110" s="27">
        <f>IF(OR($P110="",$S110=""),"",ROUND($P110*$S110,2))</f>
        <v/>
      </c>
      <c r="U110" s="18" t="n"/>
      <c r="V110" s="18" t="n"/>
      <c r="W110" s="18" t="n"/>
      <c r="X110" s="25" t="n"/>
      <c r="Y110" s="25" t="n"/>
      <c r="Z110" s="32" t="n"/>
      <c r="AA110" s="32" t="n"/>
      <c r="AB110" s="18" t="n"/>
      <c r="AC110" s="20" t="n"/>
      <c r="AD110" s="26">
        <f>IF($P110="","",MAX(0,$P110-N($X110)))</f>
        <v/>
      </c>
      <c r="AE110" s="23">
        <f>IF($A110="","",IF($M110="","Falta recurso",IF(IFERROR(VLOOKUP($M110,Recursos!$A$6:$H$105,7,FALSE),"No")&lt;&gt;"Sí","Recurso no activo",IF(OR($B110="",$H110="",$L110=""),"Faltan fecha u horarios",IF(OR($G110&gt;$H110,$H110&gt;$I110,$I110&gt;$J110,$J110&gt;$K110,$K110&gt;$L110),"Revisar secuencia horaria",IF(SUMPRODUCT(($B$6:$B$205=$B110)*($M$6:$M$205=$M110)*($H$6:$H$205&lt;$L110)*($L$6:$L$205&gt;$H110)*N($P$6:$P$205))&gt;N($R110),"Stock insuficiente",IF(AND($U110&lt;&gt;"",SUMPRODUCT(($B$6:$B$205=$B110)*($U$6:$U$205=$U110)*($A$6:$A$205&lt;&gt;$A110)*($H$6:$H$205&lt;$L110)*($L$6:$L$205&gt;$H110))&gt;0),"Vehículo solapado",IF(AND($Z110&lt;&gt;"",$J110&lt;&gt;"",$Z110&gt;$J110),"Entrega fuera de ventana",IF(AND($W110="Devuelto",N($Y110)&lt;N($X110)),"Devolución incompleta","")))))))))</f>
        <v/>
      </c>
      <c r="AF110" s="24">
        <f>IF($A110="","",IF(OR($B110="",$C110="",$D110="",$E110="",$H110="",$I110="",$J110="",$L110="",$M110="",$P110="",$U110="",$V110="",$W110=""),"Revisar",IF($AE110&lt;&gt;"","Revisar","Correcto")))</f>
        <v/>
      </c>
    </row>
    <row r="111">
      <c r="A111" s="18" t="n"/>
      <c r="B111" s="19" t="n"/>
      <c r="C111" s="20" t="n"/>
      <c r="D111" s="20" t="n"/>
      <c r="E111" s="18" t="n"/>
      <c r="F111" s="21" t="n"/>
      <c r="G111" s="32" t="n"/>
      <c r="H111" s="32" t="n"/>
      <c r="I111" s="32" t="n"/>
      <c r="J111" s="32" t="n"/>
      <c r="K111" s="32" t="n"/>
      <c r="L111" s="32" t="n"/>
      <c r="M111" s="18" t="n"/>
      <c r="N111" s="23">
        <f>IF($M111="","",IFERROR(VLOOKUP($M111,Recursos!$A$6:$H$105,3,FALSE),"Código no encontrado"))</f>
        <v/>
      </c>
      <c r="O111" s="24">
        <f>IF($M111="","",IFERROR(VLOOKUP($M111,Recursos!$A$6:$H$105,2,FALSE),""))</f>
        <v/>
      </c>
      <c r="P111" s="25" t="n"/>
      <c r="Q111" s="24">
        <f>IF($M111="","",IFERROR(VLOOKUP($M111,Recursos!$A$6:$H$105,5,FALSE),""))</f>
        <v/>
      </c>
      <c r="R111" s="26">
        <f>IF($M111="","",IFERROR(VLOOKUP($M111,Recursos!$A$6:$H$105,4,FALSE),""))</f>
        <v/>
      </c>
      <c r="S111" s="27">
        <f>IF($M111="","",IFERROR(VLOOKUP($M111,Recursos!$A$6:$H$105,6,FALSE),""))</f>
        <v/>
      </c>
      <c r="T111" s="27">
        <f>IF(OR($P111="",$S111=""),"",ROUND($P111*$S111,2))</f>
        <v/>
      </c>
      <c r="U111" s="18" t="n"/>
      <c r="V111" s="18" t="n"/>
      <c r="W111" s="18" t="n"/>
      <c r="X111" s="25" t="n"/>
      <c r="Y111" s="25" t="n"/>
      <c r="Z111" s="32" t="n"/>
      <c r="AA111" s="32" t="n"/>
      <c r="AB111" s="18" t="n"/>
      <c r="AC111" s="20" t="n"/>
      <c r="AD111" s="26">
        <f>IF($P111="","",MAX(0,$P111-N($X111)))</f>
        <v/>
      </c>
      <c r="AE111" s="23">
        <f>IF($A111="","",IF($M111="","Falta recurso",IF(IFERROR(VLOOKUP($M111,Recursos!$A$6:$H$105,7,FALSE),"No")&lt;&gt;"Sí","Recurso no activo",IF(OR($B111="",$H111="",$L111=""),"Faltan fecha u horarios",IF(OR($G111&gt;$H111,$H111&gt;$I111,$I111&gt;$J111,$J111&gt;$K111,$K111&gt;$L111),"Revisar secuencia horaria",IF(SUMPRODUCT(($B$6:$B$205=$B111)*($M$6:$M$205=$M111)*($H$6:$H$205&lt;$L111)*($L$6:$L$205&gt;$H111)*N($P$6:$P$205))&gt;N($R111),"Stock insuficiente",IF(AND($U111&lt;&gt;"",SUMPRODUCT(($B$6:$B$205=$B111)*($U$6:$U$205=$U111)*($A$6:$A$205&lt;&gt;$A111)*($H$6:$H$205&lt;$L111)*($L$6:$L$205&gt;$H111))&gt;0),"Vehículo solapado",IF(AND($Z111&lt;&gt;"",$J111&lt;&gt;"",$Z111&gt;$J111),"Entrega fuera de ventana",IF(AND($W111="Devuelto",N($Y111)&lt;N($X111)),"Devolución incompleta","")))))))))</f>
        <v/>
      </c>
      <c r="AF111" s="24">
        <f>IF($A111="","",IF(OR($B111="",$C111="",$D111="",$E111="",$H111="",$I111="",$J111="",$L111="",$M111="",$P111="",$U111="",$V111="",$W111=""),"Revisar",IF($AE111&lt;&gt;"","Revisar","Correcto")))</f>
        <v/>
      </c>
    </row>
    <row r="112">
      <c r="A112" s="18" t="n"/>
      <c r="B112" s="19" t="n"/>
      <c r="C112" s="20" t="n"/>
      <c r="D112" s="20" t="n"/>
      <c r="E112" s="18" t="n"/>
      <c r="F112" s="21" t="n"/>
      <c r="G112" s="32" t="n"/>
      <c r="H112" s="32" t="n"/>
      <c r="I112" s="32" t="n"/>
      <c r="J112" s="32" t="n"/>
      <c r="K112" s="32" t="n"/>
      <c r="L112" s="32" t="n"/>
      <c r="M112" s="18" t="n"/>
      <c r="N112" s="23">
        <f>IF($M112="","",IFERROR(VLOOKUP($M112,Recursos!$A$6:$H$105,3,FALSE),"Código no encontrado"))</f>
        <v/>
      </c>
      <c r="O112" s="24">
        <f>IF($M112="","",IFERROR(VLOOKUP($M112,Recursos!$A$6:$H$105,2,FALSE),""))</f>
        <v/>
      </c>
      <c r="P112" s="25" t="n"/>
      <c r="Q112" s="24">
        <f>IF($M112="","",IFERROR(VLOOKUP($M112,Recursos!$A$6:$H$105,5,FALSE),""))</f>
        <v/>
      </c>
      <c r="R112" s="26">
        <f>IF($M112="","",IFERROR(VLOOKUP($M112,Recursos!$A$6:$H$105,4,FALSE),""))</f>
        <v/>
      </c>
      <c r="S112" s="27">
        <f>IF($M112="","",IFERROR(VLOOKUP($M112,Recursos!$A$6:$H$105,6,FALSE),""))</f>
        <v/>
      </c>
      <c r="T112" s="27">
        <f>IF(OR($P112="",$S112=""),"",ROUND($P112*$S112,2))</f>
        <v/>
      </c>
      <c r="U112" s="18" t="n"/>
      <c r="V112" s="18" t="n"/>
      <c r="W112" s="18" t="n"/>
      <c r="X112" s="25" t="n"/>
      <c r="Y112" s="25" t="n"/>
      <c r="Z112" s="32" t="n"/>
      <c r="AA112" s="32" t="n"/>
      <c r="AB112" s="18" t="n"/>
      <c r="AC112" s="20" t="n"/>
      <c r="AD112" s="26">
        <f>IF($P112="","",MAX(0,$P112-N($X112)))</f>
        <v/>
      </c>
      <c r="AE112" s="23">
        <f>IF($A112="","",IF($M112="","Falta recurso",IF(IFERROR(VLOOKUP($M112,Recursos!$A$6:$H$105,7,FALSE),"No")&lt;&gt;"Sí","Recurso no activo",IF(OR($B112="",$H112="",$L112=""),"Faltan fecha u horarios",IF(OR($G112&gt;$H112,$H112&gt;$I112,$I112&gt;$J112,$J112&gt;$K112,$K112&gt;$L112),"Revisar secuencia horaria",IF(SUMPRODUCT(($B$6:$B$205=$B112)*($M$6:$M$205=$M112)*($H$6:$H$205&lt;$L112)*($L$6:$L$205&gt;$H112)*N($P$6:$P$205))&gt;N($R112),"Stock insuficiente",IF(AND($U112&lt;&gt;"",SUMPRODUCT(($B$6:$B$205=$B112)*($U$6:$U$205=$U112)*($A$6:$A$205&lt;&gt;$A112)*($H$6:$H$205&lt;$L112)*($L$6:$L$205&gt;$H112))&gt;0),"Vehículo solapado",IF(AND($Z112&lt;&gt;"",$J112&lt;&gt;"",$Z112&gt;$J112),"Entrega fuera de ventana",IF(AND($W112="Devuelto",N($Y112)&lt;N($X112)),"Devolución incompleta","")))))))))</f>
        <v/>
      </c>
      <c r="AF112" s="24">
        <f>IF($A112="","",IF(OR($B112="",$C112="",$D112="",$E112="",$H112="",$I112="",$J112="",$L112="",$M112="",$P112="",$U112="",$V112="",$W112=""),"Revisar",IF($AE112&lt;&gt;"","Revisar","Correcto")))</f>
        <v/>
      </c>
    </row>
    <row r="113">
      <c r="A113" s="18" t="n"/>
      <c r="B113" s="19" t="n"/>
      <c r="C113" s="20" t="n"/>
      <c r="D113" s="20" t="n"/>
      <c r="E113" s="18" t="n"/>
      <c r="F113" s="21" t="n"/>
      <c r="G113" s="32" t="n"/>
      <c r="H113" s="32" t="n"/>
      <c r="I113" s="32" t="n"/>
      <c r="J113" s="32" t="n"/>
      <c r="K113" s="32" t="n"/>
      <c r="L113" s="32" t="n"/>
      <c r="M113" s="18" t="n"/>
      <c r="N113" s="23">
        <f>IF($M113="","",IFERROR(VLOOKUP($M113,Recursos!$A$6:$H$105,3,FALSE),"Código no encontrado"))</f>
        <v/>
      </c>
      <c r="O113" s="24">
        <f>IF($M113="","",IFERROR(VLOOKUP($M113,Recursos!$A$6:$H$105,2,FALSE),""))</f>
        <v/>
      </c>
      <c r="P113" s="25" t="n"/>
      <c r="Q113" s="24">
        <f>IF($M113="","",IFERROR(VLOOKUP($M113,Recursos!$A$6:$H$105,5,FALSE),""))</f>
        <v/>
      </c>
      <c r="R113" s="26">
        <f>IF($M113="","",IFERROR(VLOOKUP($M113,Recursos!$A$6:$H$105,4,FALSE),""))</f>
        <v/>
      </c>
      <c r="S113" s="27">
        <f>IF($M113="","",IFERROR(VLOOKUP($M113,Recursos!$A$6:$H$105,6,FALSE),""))</f>
        <v/>
      </c>
      <c r="T113" s="27">
        <f>IF(OR($P113="",$S113=""),"",ROUND($P113*$S113,2))</f>
        <v/>
      </c>
      <c r="U113" s="18" t="n"/>
      <c r="V113" s="18" t="n"/>
      <c r="W113" s="18" t="n"/>
      <c r="X113" s="25" t="n"/>
      <c r="Y113" s="25" t="n"/>
      <c r="Z113" s="32" t="n"/>
      <c r="AA113" s="32" t="n"/>
      <c r="AB113" s="18" t="n"/>
      <c r="AC113" s="20" t="n"/>
      <c r="AD113" s="26">
        <f>IF($P113="","",MAX(0,$P113-N($X113)))</f>
        <v/>
      </c>
      <c r="AE113" s="23">
        <f>IF($A113="","",IF($M113="","Falta recurso",IF(IFERROR(VLOOKUP($M113,Recursos!$A$6:$H$105,7,FALSE),"No")&lt;&gt;"Sí","Recurso no activo",IF(OR($B113="",$H113="",$L113=""),"Faltan fecha u horarios",IF(OR($G113&gt;$H113,$H113&gt;$I113,$I113&gt;$J113,$J113&gt;$K113,$K113&gt;$L113),"Revisar secuencia horaria",IF(SUMPRODUCT(($B$6:$B$205=$B113)*($M$6:$M$205=$M113)*($H$6:$H$205&lt;$L113)*($L$6:$L$205&gt;$H113)*N($P$6:$P$205))&gt;N($R113),"Stock insuficiente",IF(AND($U113&lt;&gt;"",SUMPRODUCT(($B$6:$B$205=$B113)*($U$6:$U$205=$U113)*($A$6:$A$205&lt;&gt;$A113)*($H$6:$H$205&lt;$L113)*($L$6:$L$205&gt;$H113))&gt;0),"Vehículo solapado",IF(AND($Z113&lt;&gt;"",$J113&lt;&gt;"",$Z113&gt;$J113),"Entrega fuera de ventana",IF(AND($W113="Devuelto",N($Y113)&lt;N($X113)),"Devolución incompleta","")))))))))</f>
        <v/>
      </c>
      <c r="AF113" s="24">
        <f>IF($A113="","",IF(OR($B113="",$C113="",$D113="",$E113="",$H113="",$I113="",$J113="",$L113="",$M113="",$P113="",$U113="",$V113="",$W113=""),"Revisar",IF($AE113&lt;&gt;"","Revisar","Correcto")))</f>
        <v/>
      </c>
    </row>
    <row r="114">
      <c r="A114" s="18" t="n"/>
      <c r="B114" s="19" t="n"/>
      <c r="C114" s="20" t="n"/>
      <c r="D114" s="20" t="n"/>
      <c r="E114" s="18" t="n"/>
      <c r="F114" s="21" t="n"/>
      <c r="G114" s="32" t="n"/>
      <c r="H114" s="32" t="n"/>
      <c r="I114" s="32" t="n"/>
      <c r="J114" s="32" t="n"/>
      <c r="K114" s="32" t="n"/>
      <c r="L114" s="32" t="n"/>
      <c r="M114" s="18" t="n"/>
      <c r="N114" s="23">
        <f>IF($M114="","",IFERROR(VLOOKUP($M114,Recursos!$A$6:$H$105,3,FALSE),"Código no encontrado"))</f>
        <v/>
      </c>
      <c r="O114" s="24">
        <f>IF($M114="","",IFERROR(VLOOKUP($M114,Recursos!$A$6:$H$105,2,FALSE),""))</f>
        <v/>
      </c>
      <c r="P114" s="25" t="n"/>
      <c r="Q114" s="24">
        <f>IF($M114="","",IFERROR(VLOOKUP($M114,Recursos!$A$6:$H$105,5,FALSE),""))</f>
        <v/>
      </c>
      <c r="R114" s="26">
        <f>IF($M114="","",IFERROR(VLOOKUP($M114,Recursos!$A$6:$H$105,4,FALSE),""))</f>
        <v/>
      </c>
      <c r="S114" s="27">
        <f>IF($M114="","",IFERROR(VLOOKUP($M114,Recursos!$A$6:$H$105,6,FALSE),""))</f>
        <v/>
      </c>
      <c r="T114" s="27">
        <f>IF(OR($P114="",$S114=""),"",ROUND($P114*$S114,2))</f>
        <v/>
      </c>
      <c r="U114" s="18" t="n"/>
      <c r="V114" s="18" t="n"/>
      <c r="W114" s="18" t="n"/>
      <c r="X114" s="25" t="n"/>
      <c r="Y114" s="25" t="n"/>
      <c r="Z114" s="32" t="n"/>
      <c r="AA114" s="32" t="n"/>
      <c r="AB114" s="18" t="n"/>
      <c r="AC114" s="20" t="n"/>
      <c r="AD114" s="26">
        <f>IF($P114="","",MAX(0,$P114-N($X114)))</f>
        <v/>
      </c>
      <c r="AE114" s="23">
        <f>IF($A114="","",IF($M114="","Falta recurso",IF(IFERROR(VLOOKUP($M114,Recursos!$A$6:$H$105,7,FALSE),"No")&lt;&gt;"Sí","Recurso no activo",IF(OR($B114="",$H114="",$L114=""),"Faltan fecha u horarios",IF(OR($G114&gt;$H114,$H114&gt;$I114,$I114&gt;$J114,$J114&gt;$K114,$K114&gt;$L114),"Revisar secuencia horaria",IF(SUMPRODUCT(($B$6:$B$205=$B114)*($M$6:$M$205=$M114)*($H$6:$H$205&lt;$L114)*($L$6:$L$205&gt;$H114)*N($P$6:$P$205))&gt;N($R114),"Stock insuficiente",IF(AND($U114&lt;&gt;"",SUMPRODUCT(($B$6:$B$205=$B114)*($U$6:$U$205=$U114)*($A$6:$A$205&lt;&gt;$A114)*($H$6:$H$205&lt;$L114)*($L$6:$L$205&gt;$H114))&gt;0),"Vehículo solapado",IF(AND($Z114&lt;&gt;"",$J114&lt;&gt;"",$Z114&gt;$J114),"Entrega fuera de ventana",IF(AND($W114="Devuelto",N($Y114)&lt;N($X114)),"Devolución incompleta","")))))))))</f>
        <v/>
      </c>
      <c r="AF114" s="24">
        <f>IF($A114="","",IF(OR($B114="",$C114="",$D114="",$E114="",$H114="",$I114="",$J114="",$L114="",$M114="",$P114="",$U114="",$V114="",$W114=""),"Revisar",IF($AE114&lt;&gt;"","Revisar","Correcto")))</f>
        <v/>
      </c>
    </row>
    <row r="115">
      <c r="A115" s="18" t="n"/>
      <c r="B115" s="19" t="n"/>
      <c r="C115" s="20" t="n"/>
      <c r="D115" s="20" t="n"/>
      <c r="E115" s="18" t="n"/>
      <c r="F115" s="21" t="n"/>
      <c r="G115" s="32" t="n"/>
      <c r="H115" s="32" t="n"/>
      <c r="I115" s="32" t="n"/>
      <c r="J115" s="32" t="n"/>
      <c r="K115" s="32" t="n"/>
      <c r="L115" s="32" t="n"/>
      <c r="M115" s="18" t="n"/>
      <c r="N115" s="23">
        <f>IF($M115="","",IFERROR(VLOOKUP($M115,Recursos!$A$6:$H$105,3,FALSE),"Código no encontrado"))</f>
        <v/>
      </c>
      <c r="O115" s="24">
        <f>IF($M115="","",IFERROR(VLOOKUP($M115,Recursos!$A$6:$H$105,2,FALSE),""))</f>
        <v/>
      </c>
      <c r="P115" s="25" t="n"/>
      <c r="Q115" s="24">
        <f>IF($M115="","",IFERROR(VLOOKUP($M115,Recursos!$A$6:$H$105,5,FALSE),""))</f>
        <v/>
      </c>
      <c r="R115" s="26">
        <f>IF($M115="","",IFERROR(VLOOKUP($M115,Recursos!$A$6:$H$105,4,FALSE),""))</f>
        <v/>
      </c>
      <c r="S115" s="27">
        <f>IF($M115="","",IFERROR(VLOOKUP($M115,Recursos!$A$6:$H$105,6,FALSE),""))</f>
        <v/>
      </c>
      <c r="T115" s="27">
        <f>IF(OR($P115="",$S115=""),"",ROUND($P115*$S115,2))</f>
        <v/>
      </c>
      <c r="U115" s="18" t="n"/>
      <c r="V115" s="18" t="n"/>
      <c r="W115" s="18" t="n"/>
      <c r="X115" s="25" t="n"/>
      <c r="Y115" s="25" t="n"/>
      <c r="Z115" s="32" t="n"/>
      <c r="AA115" s="32" t="n"/>
      <c r="AB115" s="18" t="n"/>
      <c r="AC115" s="20" t="n"/>
      <c r="AD115" s="26">
        <f>IF($P115="","",MAX(0,$P115-N($X115)))</f>
        <v/>
      </c>
      <c r="AE115" s="23">
        <f>IF($A115="","",IF($M115="","Falta recurso",IF(IFERROR(VLOOKUP($M115,Recursos!$A$6:$H$105,7,FALSE),"No")&lt;&gt;"Sí","Recurso no activo",IF(OR($B115="",$H115="",$L115=""),"Faltan fecha u horarios",IF(OR($G115&gt;$H115,$H115&gt;$I115,$I115&gt;$J115,$J115&gt;$K115,$K115&gt;$L115),"Revisar secuencia horaria",IF(SUMPRODUCT(($B$6:$B$205=$B115)*($M$6:$M$205=$M115)*($H$6:$H$205&lt;$L115)*($L$6:$L$205&gt;$H115)*N($P$6:$P$205))&gt;N($R115),"Stock insuficiente",IF(AND($U115&lt;&gt;"",SUMPRODUCT(($B$6:$B$205=$B115)*($U$6:$U$205=$U115)*($A$6:$A$205&lt;&gt;$A115)*($H$6:$H$205&lt;$L115)*($L$6:$L$205&gt;$H115))&gt;0),"Vehículo solapado",IF(AND($Z115&lt;&gt;"",$J115&lt;&gt;"",$Z115&gt;$J115),"Entrega fuera de ventana",IF(AND($W115="Devuelto",N($Y115)&lt;N($X115)),"Devolución incompleta","")))))))))</f>
        <v/>
      </c>
      <c r="AF115" s="24">
        <f>IF($A115="","",IF(OR($B115="",$C115="",$D115="",$E115="",$H115="",$I115="",$J115="",$L115="",$M115="",$P115="",$U115="",$V115="",$W115=""),"Revisar",IF($AE115&lt;&gt;"","Revisar","Correcto")))</f>
        <v/>
      </c>
    </row>
    <row r="116">
      <c r="A116" s="18" t="n"/>
      <c r="B116" s="19" t="n"/>
      <c r="C116" s="20" t="n"/>
      <c r="D116" s="20" t="n"/>
      <c r="E116" s="18" t="n"/>
      <c r="F116" s="21" t="n"/>
      <c r="G116" s="32" t="n"/>
      <c r="H116" s="32" t="n"/>
      <c r="I116" s="32" t="n"/>
      <c r="J116" s="32" t="n"/>
      <c r="K116" s="32" t="n"/>
      <c r="L116" s="32" t="n"/>
      <c r="M116" s="18" t="n"/>
      <c r="N116" s="23">
        <f>IF($M116="","",IFERROR(VLOOKUP($M116,Recursos!$A$6:$H$105,3,FALSE),"Código no encontrado"))</f>
        <v/>
      </c>
      <c r="O116" s="24">
        <f>IF($M116="","",IFERROR(VLOOKUP($M116,Recursos!$A$6:$H$105,2,FALSE),""))</f>
        <v/>
      </c>
      <c r="P116" s="25" t="n"/>
      <c r="Q116" s="24">
        <f>IF($M116="","",IFERROR(VLOOKUP($M116,Recursos!$A$6:$H$105,5,FALSE),""))</f>
        <v/>
      </c>
      <c r="R116" s="26">
        <f>IF($M116="","",IFERROR(VLOOKUP($M116,Recursos!$A$6:$H$105,4,FALSE),""))</f>
        <v/>
      </c>
      <c r="S116" s="27">
        <f>IF($M116="","",IFERROR(VLOOKUP($M116,Recursos!$A$6:$H$105,6,FALSE),""))</f>
        <v/>
      </c>
      <c r="T116" s="27">
        <f>IF(OR($P116="",$S116=""),"",ROUND($P116*$S116,2))</f>
        <v/>
      </c>
      <c r="U116" s="18" t="n"/>
      <c r="V116" s="18" t="n"/>
      <c r="W116" s="18" t="n"/>
      <c r="X116" s="25" t="n"/>
      <c r="Y116" s="25" t="n"/>
      <c r="Z116" s="32" t="n"/>
      <c r="AA116" s="32" t="n"/>
      <c r="AB116" s="18" t="n"/>
      <c r="AC116" s="20" t="n"/>
      <c r="AD116" s="26">
        <f>IF($P116="","",MAX(0,$P116-N($X116)))</f>
        <v/>
      </c>
      <c r="AE116" s="23">
        <f>IF($A116="","",IF($M116="","Falta recurso",IF(IFERROR(VLOOKUP($M116,Recursos!$A$6:$H$105,7,FALSE),"No")&lt;&gt;"Sí","Recurso no activo",IF(OR($B116="",$H116="",$L116=""),"Faltan fecha u horarios",IF(OR($G116&gt;$H116,$H116&gt;$I116,$I116&gt;$J116,$J116&gt;$K116,$K116&gt;$L116),"Revisar secuencia horaria",IF(SUMPRODUCT(($B$6:$B$205=$B116)*($M$6:$M$205=$M116)*($H$6:$H$205&lt;$L116)*($L$6:$L$205&gt;$H116)*N($P$6:$P$205))&gt;N($R116),"Stock insuficiente",IF(AND($U116&lt;&gt;"",SUMPRODUCT(($B$6:$B$205=$B116)*($U$6:$U$205=$U116)*($A$6:$A$205&lt;&gt;$A116)*($H$6:$H$205&lt;$L116)*($L$6:$L$205&gt;$H116))&gt;0),"Vehículo solapado",IF(AND($Z116&lt;&gt;"",$J116&lt;&gt;"",$Z116&gt;$J116),"Entrega fuera de ventana",IF(AND($W116="Devuelto",N($Y116)&lt;N($X116)),"Devolución incompleta","")))))))))</f>
        <v/>
      </c>
      <c r="AF116" s="24">
        <f>IF($A116="","",IF(OR($B116="",$C116="",$D116="",$E116="",$H116="",$I116="",$J116="",$L116="",$M116="",$P116="",$U116="",$V116="",$W116=""),"Revisar",IF($AE116&lt;&gt;"","Revisar","Correcto")))</f>
        <v/>
      </c>
    </row>
    <row r="117">
      <c r="A117" s="18" t="n"/>
      <c r="B117" s="19" t="n"/>
      <c r="C117" s="20" t="n"/>
      <c r="D117" s="20" t="n"/>
      <c r="E117" s="18" t="n"/>
      <c r="F117" s="21" t="n"/>
      <c r="G117" s="32" t="n"/>
      <c r="H117" s="32" t="n"/>
      <c r="I117" s="32" t="n"/>
      <c r="J117" s="32" t="n"/>
      <c r="K117" s="32" t="n"/>
      <c r="L117" s="32" t="n"/>
      <c r="M117" s="18" t="n"/>
      <c r="N117" s="23">
        <f>IF($M117="","",IFERROR(VLOOKUP($M117,Recursos!$A$6:$H$105,3,FALSE),"Código no encontrado"))</f>
        <v/>
      </c>
      <c r="O117" s="24">
        <f>IF($M117="","",IFERROR(VLOOKUP($M117,Recursos!$A$6:$H$105,2,FALSE),""))</f>
        <v/>
      </c>
      <c r="P117" s="25" t="n"/>
      <c r="Q117" s="24">
        <f>IF($M117="","",IFERROR(VLOOKUP($M117,Recursos!$A$6:$H$105,5,FALSE),""))</f>
        <v/>
      </c>
      <c r="R117" s="26">
        <f>IF($M117="","",IFERROR(VLOOKUP($M117,Recursos!$A$6:$H$105,4,FALSE),""))</f>
        <v/>
      </c>
      <c r="S117" s="27">
        <f>IF($M117="","",IFERROR(VLOOKUP($M117,Recursos!$A$6:$H$105,6,FALSE),""))</f>
        <v/>
      </c>
      <c r="T117" s="27">
        <f>IF(OR($P117="",$S117=""),"",ROUND($P117*$S117,2))</f>
        <v/>
      </c>
      <c r="U117" s="18" t="n"/>
      <c r="V117" s="18" t="n"/>
      <c r="W117" s="18" t="n"/>
      <c r="X117" s="25" t="n"/>
      <c r="Y117" s="25" t="n"/>
      <c r="Z117" s="32" t="n"/>
      <c r="AA117" s="32" t="n"/>
      <c r="AB117" s="18" t="n"/>
      <c r="AC117" s="20" t="n"/>
      <c r="AD117" s="26">
        <f>IF($P117="","",MAX(0,$P117-N($X117)))</f>
        <v/>
      </c>
      <c r="AE117" s="23">
        <f>IF($A117="","",IF($M117="","Falta recurso",IF(IFERROR(VLOOKUP($M117,Recursos!$A$6:$H$105,7,FALSE),"No")&lt;&gt;"Sí","Recurso no activo",IF(OR($B117="",$H117="",$L117=""),"Faltan fecha u horarios",IF(OR($G117&gt;$H117,$H117&gt;$I117,$I117&gt;$J117,$J117&gt;$K117,$K117&gt;$L117),"Revisar secuencia horaria",IF(SUMPRODUCT(($B$6:$B$205=$B117)*($M$6:$M$205=$M117)*($H$6:$H$205&lt;$L117)*($L$6:$L$205&gt;$H117)*N($P$6:$P$205))&gt;N($R117),"Stock insuficiente",IF(AND($U117&lt;&gt;"",SUMPRODUCT(($B$6:$B$205=$B117)*($U$6:$U$205=$U117)*($A$6:$A$205&lt;&gt;$A117)*($H$6:$H$205&lt;$L117)*($L$6:$L$205&gt;$H117))&gt;0),"Vehículo solapado",IF(AND($Z117&lt;&gt;"",$J117&lt;&gt;"",$Z117&gt;$J117),"Entrega fuera de ventana",IF(AND($W117="Devuelto",N($Y117)&lt;N($X117)),"Devolución incompleta","")))))))))</f>
        <v/>
      </c>
      <c r="AF117" s="24">
        <f>IF($A117="","",IF(OR($B117="",$C117="",$D117="",$E117="",$H117="",$I117="",$J117="",$L117="",$M117="",$P117="",$U117="",$V117="",$W117=""),"Revisar",IF($AE117&lt;&gt;"","Revisar","Correcto")))</f>
        <v/>
      </c>
    </row>
    <row r="118">
      <c r="A118" s="18" t="n"/>
      <c r="B118" s="19" t="n"/>
      <c r="C118" s="20" t="n"/>
      <c r="D118" s="20" t="n"/>
      <c r="E118" s="18" t="n"/>
      <c r="F118" s="21" t="n"/>
      <c r="G118" s="32" t="n"/>
      <c r="H118" s="32" t="n"/>
      <c r="I118" s="32" t="n"/>
      <c r="J118" s="32" t="n"/>
      <c r="K118" s="32" t="n"/>
      <c r="L118" s="32" t="n"/>
      <c r="M118" s="18" t="n"/>
      <c r="N118" s="23">
        <f>IF($M118="","",IFERROR(VLOOKUP($M118,Recursos!$A$6:$H$105,3,FALSE),"Código no encontrado"))</f>
        <v/>
      </c>
      <c r="O118" s="24">
        <f>IF($M118="","",IFERROR(VLOOKUP($M118,Recursos!$A$6:$H$105,2,FALSE),""))</f>
        <v/>
      </c>
      <c r="P118" s="25" t="n"/>
      <c r="Q118" s="24">
        <f>IF($M118="","",IFERROR(VLOOKUP($M118,Recursos!$A$6:$H$105,5,FALSE),""))</f>
        <v/>
      </c>
      <c r="R118" s="26">
        <f>IF($M118="","",IFERROR(VLOOKUP($M118,Recursos!$A$6:$H$105,4,FALSE),""))</f>
        <v/>
      </c>
      <c r="S118" s="27">
        <f>IF($M118="","",IFERROR(VLOOKUP($M118,Recursos!$A$6:$H$105,6,FALSE),""))</f>
        <v/>
      </c>
      <c r="T118" s="27">
        <f>IF(OR($P118="",$S118=""),"",ROUND($P118*$S118,2))</f>
        <v/>
      </c>
      <c r="U118" s="18" t="n"/>
      <c r="V118" s="18" t="n"/>
      <c r="W118" s="18" t="n"/>
      <c r="X118" s="25" t="n"/>
      <c r="Y118" s="25" t="n"/>
      <c r="Z118" s="32" t="n"/>
      <c r="AA118" s="32" t="n"/>
      <c r="AB118" s="18" t="n"/>
      <c r="AC118" s="20" t="n"/>
      <c r="AD118" s="26">
        <f>IF($P118="","",MAX(0,$P118-N($X118)))</f>
        <v/>
      </c>
      <c r="AE118" s="23">
        <f>IF($A118="","",IF($M118="","Falta recurso",IF(IFERROR(VLOOKUP($M118,Recursos!$A$6:$H$105,7,FALSE),"No")&lt;&gt;"Sí","Recurso no activo",IF(OR($B118="",$H118="",$L118=""),"Faltan fecha u horarios",IF(OR($G118&gt;$H118,$H118&gt;$I118,$I118&gt;$J118,$J118&gt;$K118,$K118&gt;$L118),"Revisar secuencia horaria",IF(SUMPRODUCT(($B$6:$B$205=$B118)*($M$6:$M$205=$M118)*($H$6:$H$205&lt;$L118)*($L$6:$L$205&gt;$H118)*N($P$6:$P$205))&gt;N($R118),"Stock insuficiente",IF(AND($U118&lt;&gt;"",SUMPRODUCT(($B$6:$B$205=$B118)*($U$6:$U$205=$U118)*($A$6:$A$205&lt;&gt;$A118)*($H$6:$H$205&lt;$L118)*($L$6:$L$205&gt;$H118))&gt;0),"Vehículo solapado",IF(AND($Z118&lt;&gt;"",$J118&lt;&gt;"",$Z118&gt;$J118),"Entrega fuera de ventana",IF(AND($W118="Devuelto",N($Y118)&lt;N($X118)),"Devolución incompleta","")))))))))</f>
        <v/>
      </c>
      <c r="AF118" s="24">
        <f>IF($A118="","",IF(OR($B118="",$C118="",$D118="",$E118="",$H118="",$I118="",$J118="",$L118="",$M118="",$P118="",$U118="",$V118="",$W118=""),"Revisar",IF($AE118&lt;&gt;"","Revisar","Correcto")))</f>
        <v/>
      </c>
    </row>
    <row r="119">
      <c r="A119" s="18" t="n"/>
      <c r="B119" s="19" t="n"/>
      <c r="C119" s="20" t="n"/>
      <c r="D119" s="20" t="n"/>
      <c r="E119" s="18" t="n"/>
      <c r="F119" s="21" t="n"/>
      <c r="G119" s="32" t="n"/>
      <c r="H119" s="32" t="n"/>
      <c r="I119" s="32" t="n"/>
      <c r="J119" s="32" t="n"/>
      <c r="K119" s="32" t="n"/>
      <c r="L119" s="32" t="n"/>
      <c r="M119" s="18" t="n"/>
      <c r="N119" s="23">
        <f>IF($M119="","",IFERROR(VLOOKUP($M119,Recursos!$A$6:$H$105,3,FALSE),"Código no encontrado"))</f>
        <v/>
      </c>
      <c r="O119" s="24">
        <f>IF($M119="","",IFERROR(VLOOKUP($M119,Recursos!$A$6:$H$105,2,FALSE),""))</f>
        <v/>
      </c>
      <c r="P119" s="25" t="n"/>
      <c r="Q119" s="24">
        <f>IF($M119="","",IFERROR(VLOOKUP($M119,Recursos!$A$6:$H$105,5,FALSE),""))</f>
        <v/>
      </c>
      <c r="R119" s="26">
        <f>IF($M119="","",IFERROR(VLOOKUP($M119,Recursos!$A$6:$H$105,4,FALSE),""))</f>
        <v/>
      </c>
      <c r="S119" s="27">
        <f>IF($M119="","",IFERROR(VLOOKUP($M119,Recursos!$A$6:$H$105,6,FALSE),""))</f>
        <v/>
      </c>
      <c r="T119" s="27">
        <f>IF(OR($P119="",$S119=""),"",ROUND($P119*$S119,2))</f>
        <v/>
      </c>
      <c r="U119" s="18" t="n"/>
      <c r="V119" s="18" t="n"/>
      <c r="W119" s="18" t="n"/>
      <c r="X119" s="25" t="n"/>
      <c r="Y119" s="25" t="n"/>
      <c r="Z119" s="32" t="n"/>
      <c r="AA119" s="32" t="n"/>
      <c r="AB119" s="18" t="n"/>
      <c r="AC119" s="20" t="n"/>
      <c r="AD119" s="26">
        <f>IF($P119="","",MAX(0,$P119-N($X119)))</f>
        <v/>
      </c>
      <c r="AE119" s="23">
        <f>IF($A119="","",IF($M119="","Falta recurso",IF(IFERROR(VLOOKUP($M119,Recursos!$A$6:$H$105,7,FALSE),"No")&lt;&gt;"Sí","Recurso no activo",IF(OR($B119="",$H119="",$L119=""),"Faltan fecha u horarios",IF(OR($G119&gt;$H119,$H119&gt;$I119,$I119&gt;$J119,$J119&gt;$K119,$K119&gt;$L119),"Revisar secuencia horaria",IF(SUMPRODUCT(($B$6:$B$205=$B119)*($M$6:$M$205=$M119)*($H$6:$H$205&lt;$L119)*($L$6:$L$205&gt;$H119)*N($P$6:$P$205))&gt;N($R119),"Stock insuficiente",IF(AND($U119&lt;&gt;"",SUMPRODUCT(($B$6:$B$205=$B119)*($U$6:$U$205=$U119)*($A$6:$A$205&lt;&gt;$A119)*($H$6:$H$205&lt;$L119)*($L$6:$L$205&gt;$H119))&gt;0),"Vehículo solapado",IF(AND($Z119&lt;&gt;"",$J119&lt;&gt;"",$Z119&gt;$J119),"Entrega fuera de ventana",IF(AND($W119="Devuelto",N($Y119)&lt;N($X119)),"Devolución incompleta","")))))))))</f>
        <v/>
      </c>
      <c r="AF119" s="24">
        <f>IF($A119="","",IF(OR($B119="",$C119="",$D119="",$E119="",$H119="",$I119="",$J119="",$L119="",$M119="",$P119="",$U119="",$V119="",$W119=""),"Revisar",IF($AE119&lt;&gt;"","Revisar","Correcto")))</f>
        <v/>
      </c>
    </row>
    <row r="120">
      <c r="A120" s="18" t="n"/>
      <c r="B120" s="19" t="n"/>
      <c r="C120" s="20" t="n"/>
      <c r="D120" s="20" t="n"/>
      <c r="E120" s="18" t="n"/>
      <c r="F120" s="21" t="n"/>
      <c r="G120" s="32" t="n"/>
      <c r="H120" s="32" t="n"/>
      <c r="I120" s="32" t="n"/>
      <c r="J120" s="32" t="n"/>
      <c r="K120" s="32" t="n"/>
      <c r="L120" s="32" t="n"/>
      <c r="M120" s="18" t="n"/>
      <c r="N120" s="23">
        <f>IF($M120="","",IFERROR(VLOOKUP($M120,Recursos!$A$6:$H$105,3,FALSE),"Código no encontrado"))</f>
        <v/>
      </c>
      <c r="O120" s="24">
        <f>IF($M120="","",IFERROR(VLOOKUP($M120,Recursos!$A$6:$H$105,2,FALSE),""))</f>
        <v/>
      </c>
      <c r="P120" s="25" t="n"/>
      <c r="Q120" s="24">
        <f>IF($M120="","",IFERROR(VLOOKUP($M120,Recursos!$A$6:$H$105,5,FALSE),""))</f>
        <v/>
      </c>
      <c r="R120" s="26">
        <f>IF($M120="","",IFERROR(VLOOKUP($M120,Recursos!$A$6:$H$105,4,FALSE),""))</f>
        <v/>
      </c>
      <c r="S120" s="27">
        <f>IF($M120="","",IFERROR(VLOOKUP($M120,Recursos!$A$6:$H$105,6,FALSE),""))</f>
        <v/>
      </c>
      <c r="T120" s="27">
        <f>IF(OR($P120="",$S120=""),"",ROUND($P120*$S120,2))</f>
        <v/>
      </c>
      <c r="U120" s="18" t="n"/>
      <c r="V120" s="18" t="n"/>
      <c r="W120" s="18" t="n"/>
      <c r="X120" s="25" t="n"/>
      <c r="Y120" s="25" t="n"/>
      <c r="Z120" s="32" t="n"/>
      <c r="AA120" s="32" t="n"/>
      <c r="AB120" s="18" t="n"/>
      <c r="AC120" s="20" t="n"/>
      <c r="AD120" s="26">
        <f>IF($P120="","",MAX(0,$P120-N($X120)))</f>
        <v/>
      </c>
      <c r="AE120" s="23">
        <f>IF($A120="","",IF($M120="","Falta recurso",IF(IFERROR(VLOOKUP($M120,Recursos!$A$6:$H$105,7,FALSE),"No")&lt;&gt;"Sí","Recurso no activo",IF(OR($B120="",$H120="",$L120=""),"Faltan fecha u horarios",IF(OR($G120&gt;$H120,$H120&gt;$I120,$I120&gt;$J120,$J120&gt;$K120,$K120&gt;$L120),"Revisar secuencia horaria",IF(SUMPRODUCT(($B$6:$B$205=$B120)*($M$6:$M$205=$M120)*($H$6:$H$205&lt;$L120)*($L$6:$L$205&gt;$H120)*N($P$6:$P$205))&gt;N($R120),"Stock insuficiente",IF(AND($U120&lt;&gt;"",SUMPRODUCT(($B$6:$B$205=$B120)*($U$6:$U$205=$U120)*($A$6:$A$205&lt;&gt;$A120)*($H$6:$H$205&lt;$L120)*($L$6:$L$205&gt;$H120))&gt;0),"Vehículo solapado",IF(AND($Z120&lt;&gt;"",$J120&lt;&gt;"",$Z120&gt;$J120),"Entrega fuera de ventana",IF(AND($W120="Devuelto",N($Y120)&lt;N($X120)),"Devolución incompleta","")))))))))</f>
        <v/>
      </c>
      <c r="AF120" s="24">
        <f>IF($A120="","",IF(OR($B120="",$C120="",$D120="",$E120="",$H120="",$I120="",$J120="",$L120="",$M120="",$P120="",$U120="",$V120="",$W120=""),"Revisar",IF($AE120&lt;&gt;"","Revisar","Correcto")))</f>
        <v/>
      </c>
    </row>
    <row r="121">
      <c r="A121" s="18" t="n"/>
      <c r="B121" s="19" t="n"/>
      <c r="C121" s="20" t="n"/>
      <c r="D121" s="20" t="n"/>
      <c r="E121" s="18" t="n"/>
      <c r="F121" s="21" t="n"/>
      <c r="G121" s="32" t="n"/>
      <c r="H121" s="32" t="n"/>
      <c r="I121" s="32" t="n"/>
      <c r="J121" s="32" t="n"/>
      <c r="K121" s="32" t="n"/>
      <c r="L121" s="32" t="n"/>
      <c r="M121" s="18" t="n"/>
      <c r="N121" s="23">
        <f>IF($M121="","",IFERROR(VLOOKUP($M121,Recursos!$A$6:$H$105,3,FALSE),"Código no encontrado"))</f>
        <v/>
      </c>
      <c r="O121" s="24">
        <f>IF($M121="","",IFERROR(VLOOKUP($M121,Recursos!$A$6:$H$105,2,FALSE),""))</f>
        <v/>
      </c>
      <c r="P121" s="25" t="n"/>
      <c r="Q121" s="24">
        <f>IF($M121="","",IFERROR(VLOOKUP($M121,Recursos!$A$6:$H$105,5,FALSE),""))</f>
        <v/>
      </c>
      <c r="R121" s="26">
        <f>IF($M121="","",IFERROR(VLOOKUP($M121,Recursos!$A$6:$H$105,4,FALSE),""))</f>
        <v/>
      </c>
      <c r="S121" s="27">
        <f>IF($M121="","",IFERROR(VLOOKUP($M121,Recursos!$A$6:$H$105,6,FALSE),""))</f>
        <v/>
      </c>
      <c r="T121" s="27">
        <f>IF(OR($P121="",$S121=""),"",ROUND($P121*$S121,2))</f>
        <v/>
      </c>
      <c r="U121" s="18" t="n"/>
      <c r="V121" s="18" t="n"/>
      <c r="W121" s="18" t="n"/>
      <c r="X121" s="25" t="n"/>
      <c r="Y121" s="25" t="n"/>
      <c r="Z121" s="32" t="n"/>
      <c r="AA121" s="32" t="n"/>
      <c r="AB121" s="18" t="n"/>
      <c r="AC121" s="20" t="n"/>
      <c r="AD121" s="26">
        <f>IF($P121="","",MAX(0,$P121-N($X121)))</f>
        <v/>
      </c>
      <c r="AE121" s="23">
        <f>IF($A121="","",IF($M121="","Falta recurso",IF(IFERROR(VLOOKUP($M121,Recursos!$A$6:$H$105,7,FALSE),"No")&lt;&gt;"Sí","Recurso no activo",IF(OR($B121="",$H121="",$L121=""),"Faltan fecha u horarios",IF(OR($G121&gt;$H121,$H121&gt;$I121,$I121&gt;$J121,$J121&gt;$K121,$K121&gt;$L121),"Revisar secuencia horaria",IF(SUMPRODUCT(($B$6:$B$205=$B121)*($M$6:$M$205=$M121)*($H$6:$H$205&lt;$L121)*($L$6:$L$205&gt;$H121)*N($P$6:$P$205))&gt;N($R121),"Stock insuficiente",IF(AND($U121&lt;&gt;"",SUMPRODUCT(($B$6:$B$205=$B121)*($U$6:$U$205=$U121)*($A$6:$A$205&lt;&gt;$A121)*($H$6:$H$205&lt;$L121)*($L$6:$L$205&gt;$H121))&gt;0),"Vehículo solapado",IF(AND($Z121&lt;&gt;"",$J121&lt;&gt;"",$Z121&gt;$J121),"Entrega fuera de ventana",IF(AND($W121="Devuelto",N($Y121)&lt;N($X121)),"Devolución incompleta","")))))))))</f>
        <v/>
      </c>
      <c r="AF121" s="24">
        <f>IF($A121="","",IF(OR($B121="",$C121="",$D121="",$E121="",$H121="",$I121="",$J121="",$L121="",$M121="",$P121="",$U121="",$V121="",$W121=""),"Revisar",IF($AE121&lt;&gt;"","Revisar","Correcto")))</f>
        <v/>
      </c>
    </row>
    <row r="122">
      <c r="A122" s="18" t="n"/>
      <c r="B122" s="19" t="n"/>
      <c r="C122" s="20" t="n"/>
      <c r="D122" s="20" t="n"/>
      <c r="E122" s="18" t="n"/>
      <c r="F122" s="21" t="n"/>
      <c r="G122" s="32" t="n"/>
      <c r="H122" s="32" t="n"/>
      <c r="I122" s="32" t="n"/>
      <c r="J122" s="32" t="n"/>
      <c r="K122" s="32" t="n"/>
      <c r="L122" s="32" t="n"/>
      <c r="M122" s="18" t="n"/>
      <c r="N122" s="23">
        <f>IF($M122="","",IFERROR(VLOOKUP($M122,Recursos!$A$6:$H$105,3,FALSE),"Código no encontrado"))</f>
        <v/>
      </c>
      <c r="O122" s="24">
        <f>IF($M122="","",IFERROR(VLOOKUP($M122,Recursos!$A$6:$H$105,2,FALSE),""))</f>
        <v/>
      </c>
      <c r="P122" s="25" t="n"/>
      <c r="Q122" s="24">
        <f>IF($M122="","",IFERROR(VLOOKUP($M122,Recursos!$A$6:$H$105,5,FALSE),""))</f>
        <v/>
      </c>
      <c r="R122" s="26">
        <f>IF($M122="","",IFERROR(VLOOKUP($M122,Recursos!$A$6:$H$105,4,FALSE),""))</f>
        <v/>
      </c>
      <c r="S122" s="27">
        <f>IF($M122="","",IFERROR(VLOOKUP($M122,Recursos!$A$6:$H$105,6,FALSE),""))</f>
        <v/>
      </c>
      <c r="T122" s="27">
        <f>IF(OR($P122="",$S122=""),"",ROUND($P122*$S122,2))</f>
        <v/>
      </c>
      <c r="U122" s="18" t="n"/>
      <c r="V122" s="18" t="n"/>
      <c r="W122" s="18" t="n"/>
      <c r="X122" s="25" t="n"/>
      <c r="Y122" s="25" t="n"/>
      <c r="Z122" s="32" t="n"/>
      <c r="AA122" s="32" t="n"/>
      <c r="AB122" s="18" t="n"/>
      <c r="AC122" s="20" t="n"/>
      <c r="AD122" s="26">
        <f>IF($P122="","",MAX(0,$P122-N($X122)))</f>
        <v/>
      </c>
      <c r="AE122" s="23">
        <f>IF($A122="","",IF($M122="","Falta recurso",IF(IFERROR(VLOOKUP($M122,Recursos!$A$6:$H$105,7,FALSE),"No")&lt;&gt;"Sí","Recurso no activo",IF(OR($B122="",$H122="",$L122=""),"Faltan fecha u horarios",IF(OR($G122&gt;$H122,$H122&gt;$I122,$I122&gt;$J122,$J122&gt;$K122,$K122&gt;$L122),"Revisar secuencia horaria",IF(SUMPRODUCT(($B$6:$B$205=$B122)*($M$6:$M$205=$M122)*($H$6:$H$205&lt;$L122)*($L$6:$L$205&gt;$H122)*N($P$6:$P$205))&gt;N($R122),"Stock insuficiente",IF(AND($U122&lt;&gt;"",SUMPRODUCT(($B$6:$B$205=$B122)*($U$6:$U$205=$U122)*($A$6:$A$205&lt;&gt;$A122)*($H$6:$H$205&lt;$L122)*($L$6:$L$205&gt;$H122))&gt;0),"Vehículo solapado",IF(AND($Z122&lt;&gt;"",$J122&lt;&gt;"",$Z122&gt;$J122),"Entrega fuera de ventana",IF(AND($W122="Devuelto",N($Y122)&lt;N($X122)),"Devolución incompleta","")))))))))</f>
        <v/>
      </c>
      <c r="AF122" s="24">
        <f>IF($A122="","",IF(OR($B122="",$C122="",$D122="",$E122="",$H122="",$I122="",$J122="",$L122="",$M122="",$P122="",$U122="",$V122="",$W122=""),"Revisar",IF($AE122&lt;&gt;"","Revisar","Correcto")))</f>
        <v/>
      </c>
    </row>
    <row r="123">
      <c r="A123" s="18" t="n"/>
      <c r="B123" s="19" t="n"/>
      <c r="C123" s="20" t="n"/>
      <c r="D123" s="20" t="n"/>
      <c r="E123" s="18" t="n"/>
      <c r="F123" s="21" t="n"/>
      <c r="G123" s="32" t="n"/>
      <c r="H123" s="32" t="n"/>
      <c r="I123" s="32" t="n"/>
      <c r="J123" s="32" t="n"/>
      <c r="K123" s="32" t="n"/>
      <c r="L123" s="32" t="n"/>
      <c r="M123" s="18" t="n"/>
      <c r="N123" s="23">
        <f>IF($M123="","",IFERROR(VLOOKUP($M123,Recursos!$A$6:$H$105,3,FALSE),"Código no encontrado"))</f>
        <v/>
      </c>
      <c r="O123" s="24">
        <f>IF($M123="","",IFERROR(VLOOKUP($M123,Recursos!$A$6:$H$105,2,FALSE),""))</f>
        <v/>
      </c>
      <c r="P123" s="25" t="n"/>
      <c r="Q123" s="24">
        <f>IF($M123="","",IFERROR(VLOOKUP($M123,Recursos!$A$6:$H$105,5,FALSE),""))</f>
        <v/>
      </c>
      <c r="R123" s="26">
        <f>IF($M123="","",IFERROR(VLOOKUP($M123,Recursos!$A$6:$H$105,4,FALSE),""))</f>
        <v/>
      </c>
      <c r="S123" s="27">
        <f>IF($M123="","",IFERROR(VLOOKUP($M123,Recursos!$A$6:$H$105,6,FALSE),""))</f>
        <v/>
      </c>
      <c r="T123" s="27">
        <f>IF(OR($P123="",$S123=""),"",ROUND($P123*$S123,2))</f>
        <v/>
      </c>
      <c r="U123" s="18" t="n"/>
      <c r="V123" s="18" t="n"/>
      <c r="W123" s="18" t="n"/>
      <c r="X123" s="25" t="n"/>
      <c r="Y123" s="25" t="n"/>
      <c r="Z123" s="32" t="n"/>
      <c r="AA123" s="32" t="n"/>
      <c r="AB123" s="18" t="n"/>
      <c r="AC123" s="20" t="n"/>
      <c r="AD123" s="26">
        <f>IF($P123="","",MAX(0,$P123-N($X123)))</f>
        <v/>
      </c>
      <c r="AE123" s="23">
        <f>IF($A123="","",IF($M123="","Falta recurso",IF(IFERROR(VLOOKUP($M123,Recursos!$A$6:$H$105,7,FALSE),"No")&lt;&gt;"Sí","Recurso no activo",IF(OR($B123="",$H123="",$L123=""),"Faltan fecha u horarios",IF(OR($G123&gt;$H123,$H123&gt;$I123,$I123&gt;$J123,$J123&gt;$K123,$K123&gt;$L123),"Revisar secuencia horaria",IF(SUMPRODUCT(($B$6:$B$205=$B123)*($M$6:$M$205=$M123)*($H$6:$H$205&lt;$L123)*($L$6:$L$205&gt;$H123)*N($P$6:$P$205))&gt;N($R123),"Stock insuficiente",IF(AND($U123&lt;&gt;"",SUMPRODUCT(($B$6:$B$205=$B123)*($U$6:$U$205=$U123)*($A$6:$A$205&lt;&gt;$A123)*($H$6:$H$205&lt;$L123)*($L$6:$L$205&gt;$H123))&gt;0),"Vehículo solapado",IF(AND($Z123&lt;&gt;"",$J123&lt;&gt;"",$Z123&gt;$J123),"Entrega fuera de ventana",IF(AND($W123="Devuelto",N($Y123)&lt;N($X123)),"Devolución incompleta","")))))))))</f>
        <v/>
      </c>
      <c r="AF123" s="24">
        <f>IF($A123="","",IF(OR($B123="",$C123="",$D123="",$E123="",$H123="",$I123="",$J123="",$L123="",$M123="",$P123="",$U123="",$V123="",$W123=""),"Revisar",IF($AE123&lt;&gt;"","Revisar","Correcto")))</f>
        <v/>
      </c>
    </row>
    <row r="124">
      <c r="A124" s="18" t="n"/>
      <c r="B124" s="19" t="n"/>
      <c r="C124" s="20" t="n"/>
      <c r="D124" s="20" t="n"/>
      <c r="E124" s="18" t="n"/>
      <c r="F124" s="21" t="n"/>
      <c r="G124" s="32" t="n"/>
      <c r="H124" s="32" t="n"/>
      <c r="I124" s="32" t="n"/>
      <c r="J124" s="32" t="n"/>
      <c r="K124" s="32" t="n"/>
      <c r="L124" s="32" t="n"/>
      <c r="M124" s="18" t="n"/>
      <c r="N124" s="23">
        <f>IF($M124="","",IFERROR(VLOOKUP($M124,Recursos!$A$6:$H$105,3,FALSE),"Código no encontrado"))</f>
        <v/>
      </c>
      <c r="O124" s="24">
        <f>IF($M124="","",IFERROR(VLOOKUP($M124,Recursos!$A$6:$H$105,2,FALSE),""))</f>
        <v/>
      </c>
      <c r="P124" s="25" t="n"/>
      <c r="Q124" s="24">
        <f>IF($M124="","",IFERROR(VLOOKUP($M124,Recursos!$A$6:$H$105,5,FALSE),""))</f>
        <v/>
      </c>
      <c r="R124" s="26">
        <f>IF($M124="","",IFERROR(VLOOKUP($M124,Recursos!$A$6:$H$105,4,FALSE),""))</f>
        <v/>
      </c>
      <c r="S124" s="27">
        <f>IF($M124="","",IFERROR(VLOOKUP($M124,Recursos!$A$6:$H$105,6,FALSE),""))</f>
        <v/>
      </c>
      <c r="T124" s="27">
        <f>IF(OR($P124="",$S124=""),"",ROUND($P124*$S124,2))</f>
        <v/>
      </c>
      <c r="U124" s="18" t="n"/>
      <c r="V124" s="18" t="n"/>
      <c r="W124" s="18" t="n"/>
      <c r="X124" s="25" t="n"/>
      <c r="Y124" s="25" t="n"/>
      <c r="Z124" s="32" t="n"/>
      <c r="AA124" s="32" t="n"/>
      <c r="AB124" s="18" t="n"/>
      <c r="AC124" s="20" t="n"/>
      <c r="AD124" s="26">
        <f>IF($P124="","",MAX(0,$P124-N($X124)))</f>
        <v/>
      </c>
      <c r="AE124" s="23">
        <f>IF($A124="","",IF($M124="","Falta recurso",IF(IFERROR(VLOOKUP($M124,Recursos!$A$6:$H$105,7,FALSE),"No")&lt;&gt;"Sí","Recurso no activo",IF(OR($B124="",$H124="",$L124=""),"Faltan fecha u horarios",IF(OR($G124&gt;$H124,$H124&gt;$I124,$I124&gt;$J124,$J124&gt;$K124,$K124&gt;$L124),"Revisar secuencia horaria",IF(SUMPRODUCT(($B$6:$B$205=$B124)*($M$6:$M$205=$M124)*($H$6:$H$205&lt;$L124)*($L$6:$L$205&gt;$H124)*N($P$6:$P$205))&gt;N($R124),"Stock insuficiente",IF(AND($U124&lt;&gt;"",SUMPRODUCT(($B$6:$B$205=$B124)*($U$6:$U$205=$U124)*($A$6:$A$205&lt;&gt;$A124)*($H$6:$H$205&lt;$L124)*($L$6:$L$205&gt;$H124))&gt;0),"Vehículo solapado",IF(AND($Z124&lt;&gt;"",$J124&lt;&gt;"",$Z124&gt;$J124),"Entrega fuera de ventana",IF(AND($W124="Devuelto",N($Y124)&lt;N($X124)),"Devolución incompleta","")))))))))</f>
        <v/>
      </c>
      <c r="AF124" s="24">
        <f>IF($A124="","",IF(OR($B124="",$C124="",$D124="",$E124="",$H124="",$I124="",$J124="",$L124="",$M124="",$P124="",$U124="",$V124="",$W124=""),"Revisar",IF($AE124&lt;&gt;"","Revisar","Correcto")))</f>
        <v/>
      </c>
    </row>
    <row r="125">
      <c r="A125" s="18" t="n"/>
      <c r="B125" s="19" t="n"/>
      <c r="C125" s="20" t="n"/>
      <c r="D125" s="20" t="n"/>
      <c r="E125" s="18" t="n"/>
      <c r="F125" s="21" t="n"/>
      <c r="G125" s="32" t="n"/>
      <c r="H125" s="32" t="n"/>
      <c r="I125" s="32" t="n"/>
      <c r="J125" s="32" t="n"/>
      <c r="K125" s="32" t="n"/>
      <c r="L125" s="32" t="n"/>
      <c r="M125" s="18" t="n"/>
      <c r="N125" s="23">
        <f>IF($M125="","",IFERROR(VLOOKUP($M125,Recursos!$A$6:$H$105,3,FALSE),"Código no encontrado"))</f>
        <v/>
      </c>
      <c r="O125" s="24">
        <f>IF($M125="","",IFERROR(VLOOKUP($M125,Recursos!$A$6:$H$105,2,FALSE),""))</f>
        <v/>
      </c>
      <c r="P125" s="25" t="n"/>
      <c r="Q125" s="24">
        <f>IF($M125="","",IFERROR(VLOOKUP($M125,Recursos!$A$6:$H$105,5,FALSE),""))</f>
        <v/>
      </c>
      <c r="R125" s="26">
        <f>IF($M125="","",IFERROR(VLOOKUP($M125,Recursos!$A$6:$H$105,4,FALSE),""))</f>
        <v/>
      </c>
      <c r="S125" s="27">
        <f>IF($M125="","",IFERROR(VLOOKUP($M125,Recursos!$A$6:$H$105,6,FALSE),""))</f>
        <v/>
      </c>
      <c r="T125" s="27">
        <f>IF(OR($P125="",$S125=""),"",ROUND($P125*$S125,2))</f>
        <v/>
      </c>
      <c r="U125" s="18" t="n"/>
      <c r="V125" s="18" t="n"/>
      <c r="W125" s="18" t="n"/>
      <c r="X125" s="25" t="n"/>
      <c r="Y125" s="25" t="n"/>
      <c r="Z125" s="32" t="n"/>
      <c r="AA125" s="32" t="n"/>
      <c r="AB125" s="18" t="n"/>
      <c r="AC125" s="20" t="n"/>
      <c r="AD125" s="26">
        <f>IF($P125="","",MAX(0,$P125-N($X125)))</f>
        <v/>
      </c>
      <c r="AE125" s="23">
        <f>IF($A125="","",IF($M125="","Falta recurso",IF(IFERROR(VLOOKUP($M125,Recursos!$A$6:$H$105,7,FALSE),"No")&lt;&gt;"Sí","Recurso no activo",IF(OR($B125="",$H125="",$L125=""),"Faltan fecha u horarios",IF(OR($G125&gt;$H125,$H125&gt;$I125,$I125&gt;$J125,$J125&gt;$K125,$K125&gt;$L125),"Revisar secuencia horaria",IF(SUMPRODUCT(($B$6:$B$205=$B125)*($M$6:$M$205=$M125)*($H$6:$H$205&lt;$L125)*($L$6:$L$205&gt;$H125)*N($P$6:$P$205))&gt;N($R125),"Stock insuficiente",IF(AND($U125&lt;&gt;"",SUMPRODUCT(($B$6:$B$205=$B125)*($U$6:$U$205=$U125)*($A$6:$A$205&lt;&gt;$A125)*($H$6:$H$205&lt;$L125)*($L$6:$L$205&gt;$H125))&gt;0),"Vehículo solapado",IF(AND($Z125&lt;&gt;"",$J125&lt;&gt;"",$Z125&gt;$J125),"Entrega fuera de ventana",IF(AND($W125="Devuelto",N($Y125)&lt;N($X125)),"Devolución incompleta","")))))))))</f>
        <v/>
      </c>
      <c r="AF125" s="24">
        <f>IF($A125="","",IF(OR($B125="",$C125="",$D125="",$E125="",$H125="",$I125="",$J125="",$L125="",$M125="",$P125="",$U125="",$V125="",$W125=""),"Revisar",IF($AE125&lt;&gt;"","Revisar","Correcto")))</f>
        <v/>
      </c>
    </row>
    <row r="126">
      <c r="A126" s="18" t="n"/>
      <c r="B126" s="19" t="n"/>
      <c r="C126" s="20" t="n"/>
      <c r="D126" s="20" t="n"/>
      <c r="E126" s="18" t="n"/>
      <c r="F126" s="21" t="n"/>
      <c r="G126" s="32" t="n"/>
      <c r="H126" s="32" t="n"/>
      <c r="I126" s="32" t="n"/>
      <c r="J126" s="32" t="n"/>
      <c r="K126" s="32" t="n"/>
      <c r="L126" s="32" t="n"/>
      <c r="M126" s="18" t="n"/>
      <c r="N126" s="23">
        <f>IF($M126="","",IFERROR(VLOOKUP($M126,Recursos!$A$6:$H$105,3,FALSE),"Código no encontrado"))</f>
        <v/>
      </c>
      <c r="O126" s="24">
        <f>IF($M126="","",IFERROR(VLOOKUP($M126,Recursos!$A$6:$H$105,2,FALSE),""))</f>
        <v/>
      </c>
      <c r="P126" s="25" t="n"/>
      <c r="Q126" s="24">
        <f>IF($M126="","",IFERROR(VLOOKUP($M126,Recursos!$A$6:$H$105,5,FALSE),""))</f>
        <v/>
      </c>
      <c r="R126" s="26">
        <f>IF($M126="","",IFERROR(VLOOKUP($M126,Recursos!$A$6:$H$105,4,FALSE),""))</f>
        <v/>
      </c>
      <c r="S126" s="27">
        <f>IF($M126="","",IFERROR(VLOOKUP($M126,Recursos!$A$6:$H$105,6,FALSE),""))</f>
        <v/>
      </c>
      <c r="T126" s="27">
        <f>IF(OR($P126="",$S126=""),"",ROUND($P126*$S126,2))</f>
        <v/>
      </c>
      <c r="U126" s="18" t="n"/>
      <c r="V126" s="18" t="n"/>
      <c r="W126" s="18" t="n"/>
      <c r="X126" s="25" t="n"/>
      <c r="Y126" s="25" t="n"/>
      <c r="Z126" s="32" t="n"/>
      <c r="AA126" s="32" t="n"/>
      <c r="AB126" s="18" t="n"/>
      <c r="AC126" s="20" t="n"/>
      <c r="AD126" s="26">
        <f>IF($P126="","",MAX(0,$P126-N($X126)))</f>
        <v/>
      </c>
      <c r="AE126" s="23">
        <f>IF($A126="","",IF($M126="","Falta recurso",IF(IFERROR(VLOOKUP($M126,Recursos!$A$6:$H$105,7,FALSE),"No")&lt;&gt;"Sí","Recurso no activo",IF(OR($B126="",$H126="",$L126=""),"Faltan fecha u horarios",IF(OR($G126&gt;$H126,$H126&gt;$I126,$I126&gt;$J126,$J126&gt;$K126,$K126&gt;$L126),"Revisar secuencia horaria",IF(SUMPRODUCT(($B$6:$B$205=$B126)*($M$6:$M$205=$M126)*($H$6:$H$205&lt;$L126)*($L$6:$L$205&gt;$H126)*N($P$6:$P$205))&gt;N($R126),"Stock insuficiente",IF(AND($U126&lt;&gt;"",SUMPRODUCT(($B$6:$B$205=$B126)*($U$6:$U$205=$U126)*($A$6:$A$205&lt;&gt;$A126)*($H$6:$H$205&lt;$L126)*($L$6:$L$205&gt;$H126))&gt;0),"Vehículo solapado",IF(AND($Z126&lt;&gt;"",$J126&lt;&gt;"",$Z126&gt;$J126),"Entrega fuera de ventana",IF(AND($W126="Devuelto",N($Y126)&lt;N($X126)),"Devolución incompleta","")))))))))</f>
        <v/>
      </c>
      <c r="AF126" s="24">
        <f>IF($A126="","",IF(OR($B126="",$C126="",$D126="",$E126="",$H126="",$I126="",$J126="",$L126="",$M126="",$P126="",$U126="",$V126="",$W126=""),"Revisar",IF($AE126&lt;&gt;"","Revisar","Correcto")))</f>
        <v/>
      </c>
    </row>
    <row r="127">
      <c r="A127" s="18" t="n"/>
      <c r="B127" s="19" t="n"/>
      <c r="C127" s="20" t="n"/>
      <c r="D127" s="20" t="n"/>
      <c r="E127" s="18" t="n"/>
      <c r="F127" s="21" t="n"/>
      <c r="G127" s="32" t="n"/>
      <c r="H127" s="32" t="n"/>
      <c r="I127" s="32" t="n"/>
      <c r="J127" s="32" t="n"/>
      <c r="K127" s="32" t="n"/>
      <c r="L127" s="32" t="n"/>
      <c r="M127" s="18" t="n"/>
      <c r="N127" s="23">
        <f>IF($M127="","",IFERROR(VLOOKUP($M127,Recursos!$A$6:$H$105,3,FALSE),"Código no encontrado"))</f>
        <v/>
      </c>
      <c r="O127" s="24">
        <f>IF($M127="","",IFERROR(VLOOKUP($M127,Recursos!$A$6:$H$105,2,FALSE),""))</f>
        <v/>
      </c>
      <c r="P127" s="25" t="n"/>
      <c r="Q127" s="24">
        <f>IF($M127="","",IFERROR(VLOOKUP($M127,Recursos!$A$6:$H$105,5,FALSE),""))</f>
        <v/>
      </c>
      <c r="R127" s="26">
        <f>IF($M127="","",IFERROR(VLOOKUP($M127,Recursos!$A$6:$H$105,4,FALSE),""))</f>
        <v/>
      </c>
      <c r="S127" s="27">
        <f>IF($M127="","",IFERROR(VLOOKUP($M127,Recursos!$A$6:$H$105,6,FALSE),""))</f>
        <v/>
      </c>
      <c r="T127" s="27">
        <f>IF(OR($P127="",$S127=""),"",ROUND($P127*$S127,2))</f>
        <v/>
      </c>
      <c r="U127" s="18" t="n"/>
      <c r="V127" s="18" t="n"/>
      <c r="W127" s="18" t="n"/>
      <c r="X127" s="25" t="n"/>
      <c r="Y127" s="25" t="n"/>
      <c r="Z127" s="32" t="n"/>
      <c r="AA127" s="32" t="n"/>
      <c r="AB127" s="18" t="n"/>
      <c r="AC127" s="20" t="n"/>
      <c r="AD127" s="26">
        <f>IF($P127="","",MAX(0,$P127-N($X127)))</f>
        <v/>
      </c>
      <c r="AE127" s="23">
        <f>IF($A127="","",IF($M127="","Falta recurso",IF(IFERROR(VLOOKUP($M127,Recursos!$A$6:$H$105,7,FALSE),"No")&lt;&gt;"Sí","Recurso no activo",IF(OR($B127="",$H127="",$L127=""),"Faltan fecha u horarios",IF(OR($G127&gt;$H127,$H127&gt;$I127,$I127&gt;$J127,$J127&gt;$K127,$K127&gt;$L127),"Revisar secuencia horaria",IF(SUMPRODUCT(($B$6:$B$205=$B127)*($M$6:$M$205=$M127)*($H$6:$H$205&lt;$L127)*($L$6:$L$205&gt;$H127)*N($P$6:$P$205))&gt;N($R127),"Stock insuficiente",IF(AND($U127&lt;&gt;"",SUMPRODUCT(($B$6:$B$205=$B127)*($U$6:$U$205=$U127)*($A$6:$A$205&lt;&gt;$A127)*($H$6:$H$205&lt;$L127)*($L$6:$L$205&gt;$H127))&gt;0),"Vehículo solapado",IF(AND($Z127&lt;&gt;"",$J127&lt;&gt;"",$Z127&gt;$J127),"Entrega fuera de ventana",IF(AND($W127="Devuelto",N($Y127)&lt;N($X127)),"Devolución incompleta","")))))))))</f>
        <v/>
      </c>
      <c r="AF127" s="24">
        <f>IF($A127="","",IF(OR($B127="",$C127="",$D127="",$E127="",$H127="",$I127="",$J127="",$L127="",$M127="",$P127="",$U127="",$V127="",$W127=""),"Revisar",IF($AE127&lt;&gt;"","Revisar","Correcto")))</f>
        <v/>
      </c>
    </row>
    <row r="128">
      <c r="A128" s="18" t="n"/>
      <c r="B128" s="19" t="n"/>
      <c r="C128" s="20" t="n"/>
      <c r="D128" s="20" t="n"/>
      <c r="E128" s="18" t="n"/>
      <c r="F128" s="21" t="n"/>
      <c r="G128" s="32" t="n"/>
      <c r="H128" s="32" t="n"/>
      <c r="I128" s="32" t="n"/>
      <c r="J128" s="32" t="n"/>
      <c r="K128" s="32" t="n"/>
      <c r="L128" s="32" t="n"/>
      <c r="M128" s="18" t="n"/>
      <c r="N128" s="23">
        <f>IF($M128="","",IFERROR(VLOOKUP($M128,Recursos!$A$6:$H$105,3,FALSE),"Código no encontrado"))</f>
        <v/>
      </c>
      <c r="O128" s="24">
        <f>IF($M128="","",IFERROR(VLOOKUP($M128,Recursos!$A$6:$H$105,2,FALSE),""))</f>
        <v/>
      </c>
      <c r="P128" s="25" t="n"/>
      <c r="Q128" s="24">
        <f>IF($M128="","",IFERROR(VLOOKUP($M128,Recursos!$A$6:$H$105,5,FALSE),""))</f>
        <v/>
      </c>
      <c r="R128" s="26">
        <f>IF($M128="","",IFERROR(VLOOKUP($M128,Recursos!$A$6:$H$105,4,FALSE),""))</f>
        <v/>
      </c>
      <c r="S128" s="27">
        <f>IF($M128="","",IFERROR(VLOOKUP($M128,Recursos!$A$6:$H$105,6,FALSE),""))</f>
        <v/>
      </c>
      <c r="T128" s="27">
        <f>IF(OR($P128="",$S128=""),"",ROUND($P128*$S128,2))</f>
        <v/>
      </c>
      <c r="U128" s="18" t="n"/>
      <c r="V128" s="18" t="n"/>
      <c r="W128" s="18" t="n"/>
      <c r="X128" s="25" t="n"/>
      <c r="Y128" s="25" t="n"/>
      <c r="Z128" s="32" t="n"/>
      <c r="AA128" s="32" t="n"/>
      <c r="AB128" s="18" t="n"/>
      <c r="AC128" s="20" t="n"/>
      <c r="AD128" s="26">
        <f>IF($P128="","",MAX(0,$P128-N($X128)))</f>
        <v/>
      </c>
      <c r="AE128" s="23">
        <f>IF($A128="","",IF($M128="","Falta recurso",IF(IFERROR(VLOOKUP($M128,Recursos!$A$6:$H$105,7,FALSE),"No")&lt;&gt;"Sí","Recurso no activo",IF(OR($B128="",$H128="",$L128=""),"Faltan fecha u horarios",IF(OR($G128&gt;$H128,$H128&gt;$I128,$I128&gt;$J128,$J128&gt;$K128,$K128&gt;$L128),"Revisar secuencia horaria",IF(SUMPRODUCT(($B$6:$B$205=$B128)*($M$6:$M$205=$M128)*($H$6:$H$205&lt;$L128)*($L$6:$L$205&gt;$H128)*N($P$6:$P$205))&gt;N($R128),"Stock insuficiente",IF(AND($U128&lt;&gt;"",SUMPRODUCT(($B$6:$B$205=$B128)*($U$6:$U$205=$U128)*($A$6:$A$205&lt;&gt;$A128)*($H$6:$H$205&lt;$L128)*($L$6:$L$205&gt;$H128))&gt;0),"Vehículo solapado",IF(AND($Z128&lt;&gt;"",$J128&lt;&gt;"",$Z128&gt;$J128),"Entrega fuera de ventana",IF(AND($W128="Devuelto",N($Y128)&lt;N($X128)),"Devolución incompleta","")))))))))</f>
        <v/>
      </c>
      <c r="AF128" s="24">
        <f>IF($A128="","",IF(OR($B128="",$C128="",$D128="",$E128="",$H128="",$I128="",$J128="",$L128="",$M128="",$P128="",$U128="",$V128="",$W128=""),"Revisar",IF($AE128&lt;&gt;"","Revisar","Correcto")))</f>
        <v/>
      </c>
    </row>
    <row r="129">
      <c r="A129" s="18" t="n"/>
      <c r="B129" s="19" t="n"/>
      <c r="C129" s="20" t="n"/>
      <c r="D129" s="20" t="n"/>
      <c r="E129" s="18" t="n"/>
      <c r="F129" s="21" t="n"/>
      <c r="G129" s="32" t="n"/>
      <c r="H129" s="32" t="n"/>
      <c r="I129" s="32" t="n"/>
      <c r="J129" s="32" t="n"/>
      <c r="K129" s="32" t="n"/>
      <c r="L129" s="32" t="n"/>
      <c r="M129" s="18" t="n"/>
      <c r="N129" s="23">
        <f>IF($M129="","",IFERROR(VLOOKUP($M129,Recursos!$A$6:$H$105,3,FALSE),"Código no encontrado"))</f>
        <v/>
      </c>
      <c r="O129" s="24">
        <f>IF($M129="","",IFERROR(VLOOKUP($M129,Recursos!$A$6:$H$105,2,FALSE),""))</f>
        <v/>
      </c>
      <c r="P129" s="25" t="n"/>
      <c r="Q129" s="24">
        <f>IF($M129="","",IFERROR(VLOOKUP($M129,Recursos!$A$6:$H$105,5,FALSE),""))</f>
        <v/>
      </c>
      <c r="R129" s="26">
        <f>IF($M129="","",IFERROR(VLOOKUP($M129,Recursos!$A$6:$H$105,4,FALSE),""))</f>
        <v/>
      </c>
      <c r="S129" s="27">
        <f>IF($M129="","",IFERROR(VLOOKUP($M129,Recursos!$A$6:$H$105,6,FALSE),""))</f>
        <v/>
      </c>
      <c r="T129" s="27">
        <f>IF(OR($P129="",$S129=""),"",ROUND($P129*$S129,2))</f>
        <v/>
      </c>
      <c r="U129" s="18" t="n"/>
      <c r="V129" s="18" t="n"/>
      <c r="W129" s="18" t="n"/>
      <c r="X129" s="25" t="n"/>
      <c r="Y129" s="25" t="n"/>
      <c r="Z129" s="32" t="n"/>
      <c r="AA129" s="32" t="n"/>
      <c r="AB129" s="18" t="n"/>
      <c r="AC129" s="20" t="n"/>
      <c r="AD129" s="26">
        <f>IF($P129="","",MAX(0,$P129-N($X129)))</f>
        <v/>
      </c>
      <c r="AE129" s="23">
        <f>IF($A129="","",IF($M129="","Falta recurso",IF(IFERROR(VLOOKUP($M129,Recursos!$A$6:$H$105,7,FALSE),"No")&lt;&gt;"Sí","Recurso no activo",IF(OR($B129="",$H129="",$L129=""),"Faltan fecha u horarios",IF(OR($G129&gt;$H129,$H129&gt;$I129,$I129&gt;$J129,$J129&gt;$K129,$K129&gt;$L129),"Revisar secuencia horaria",IF(SUMPRODUCT(($B$6:$B$205=$B129)*($M$6:$M$205=$M129)*($H$6:$H$205&lt;$L129)*($L$6:$L$205&gt;$H129)*N($P$6:$P$205))&gt;N($R129),"Stock insuficiente",IF(AND($U129&lt;&gt;"",SUMPRODUCT(($B$6:$B$205=$B129)*($U$6:$U$205=$U129)*($A$6:$A$205&lt;&gt;$A129)*($H$6:$H$205&lt;$L129)*($L$6:$L$205&gt;$H129))&gt;0),"Vehículo solapado",IF(AND($Z129&lt;&gt;"",$J129&lt;&gt;"",$Z129&gt;$J129),"Entrega fuera de ventana",IF(AND($W129="Devuelto",N($Y129)&lt;N($X129)),"Devolución incompleta","")))))))))</f>
        <v/>
      </c>
      <c r="AF129" s="24">
        <f>IF($A129="","",IF(OR($B129="",$C129="",$D129="",$E129="",$H129="",$I129="",$J129="",$L129="",$M129="",$P129="",$U129="",$V129="",$W129=""),"Revisar",IF($AE129&lt;&gt;"","Revisar","Correcto")))</f>
        <v/>
      </c>
    </row>
    <row r="130">
      <c r="A130" s="18" t="n"/>
      <c r="B130" s="19" t="n"/>
      <c r="C130" s="20" t="n"/>
      <c r="D130" s="20" t="n"/>
      <c r="E130" s="18" t="n"/>
      <c r="F130" s="21" t="n"/>
      <c r="G130" s="32" t="n"/>
      <c r="H130" s="32" t="n"/>
      <c r="I130" s="32" t="n"/>
      <c r="J130" s="32" t="n"/>
      <c r="K130" s="32" t="n"/>
      <c r="L130" s="32" t="n"/>
      <c r="M130" s="18" t="n"/>
      <c r="N130" s="23">
        <f>IF($M130="","",IFERROR(VLOOKUP($M130,Recursos!$A$6:$H$105,3,FALSE),"Código no encontrado"))</f>
        <v/>
      </c>
      <c r="O130" s="24">
        <f>IF($M130="","",IFERROR(VLOOKUP($M130,Recursos!$A$6:$H$105,2,FALSE),""))</f>
        <v/>
      </c>
      <c r="P130" s="25" t="n"/>
      <c r="Q130" s="24">
        <f>IF($M130="","",IFERROR(VLOOKUP($M130,Recursos!$A$6:$H$105,5,FALSE),""))</f>
        <v/>
      </c>
      <c r="R130" s="26">
        <f>IF($M130="","",IFERROR(VLOOKUP($M130,Recursos!$A$6:$H$105,4,FALSE),""))</f>
        <v/>
      </c>
      <c r="S130" s="27">
        <f>IF($M130="","",IFERROR(VLOOKUP($M130,Recursos!$A$6:$H$105,6,FALSE),""))</f>
        <v/>
      </c>
      <c r="T130" s="27">
        <f>IF(OR($P130="",$S130=""),"",ROUND($P130*$S130,2))</f>
        <v/>
      </c>
      <c r="U130" s="18" t="n"/>
      <c r="V130" s="18" t="n"/>
      <c r="W130" s="18" t="n"/>
      <c r="X130" s="25" t="n"/>
      <c r="Y130" s="25" t="n"/>
      <c r="Z130" s="32" t="n"/>
      <c r="AA130" s="32" t="n"/>
      <c r="AB130" s="18" t="n"/>
      <c r="AC130" s="20" t="n"/>
      <c r="AD130" s="26">
        <f>IF($P130="","",MAX(0,$P130-N($X130)))</f>
        <v/>
      </c>
      <c r="AE130" s="23">
        <f>IF($A130="","",IF($M130="","Falta recurso",IF(IFERROR(VLOOKUP($M130,Recursos!$A$6:$H$105,7,FALSE),"No")&lt;&gt;"Sí","Recurso no activo",IF(OR($B130="",$H130="",$L130=""),"Faltan fecha u horarios",IF(OR($G130&gt;$H130,$H130&gt;$I130,$I130&gt;$J130,$J130&gt;$K130,$K130&gt;$L130),"Revisar secuencia horaria",IF(SUMPRODUCT(($B$6:$B$205=$B130)*($M$6:$M$205=$M130)*($H$6:$H$205&lt;$L130)*($L$6:$L$205&gt;$H130)*N($P$6:$P$205))&gt;N($R130),"Stock insuficiente",IF(AND($U130&lt;&gt;"",SUMPRODUCT(($B$6:$B$205=$B130)*($U$6:$U$205=$U130)*($A$6:$A$205&lt;&gt;$A130)*($H$6:$H$205&lt;$L130)*($L$6:$L$205&gt;$H130))&gt;0),"Vehículo solapado",IF(AND($Z130&lt;&gt;"",$J130&lt;&gt;"",$Z130&gt;$J130),"Entrega fuera de ventana",IF(AND($W130="Devuelto",N($Y130)&lt;N($X130)),"Devolución incompleta","")))))))))</f>
        <v/>
      </c>
      <c r="AF130" s="24">
        <f>IF($A130="","",IF(OR($B130="",$C130="",$D130="",$E130="",$H130="",$I130="",$J130="",$L130="",$M130="",$P130="",$U130="",$V130="",$W130=""),"Revisar",IF($AE130&lt;&gt;"","Revisar","Correcto")))</f>
        <v/>
      </c>
    </row>
    <row r="131">
      <c r="A131" s="18" t="n"/>
      <c r="B131" s="19" t="n"/>
      <c r="C131" s="20" t="n"/>
      <c r="D131" s="20" t="n"/>
      <c r="E131" s="18" t="n"/>
      <c r="F131" s="21" t="n"/>
      <c r="G131" s="32" t="n"/>
      <c r="H131" s="32" t="n"/>
      <c r="I131" s="32" t="n"/>
      <c r="J131" s="32" t="n"/>
      <c r="K131" s="32" t="n"/>
      <c r="L131" s="32" t="n"/>
      <c r="M131" s="18" t="n"/>
      <c r="N131" s="23">
        <f>IF($M131="","",IFERROR(VLOOKUP($M131,Recursos!$A$6:$H$105,3,FALSE),"Código no encontrado"))</f>
        <v/>
      </c>
      <c r="O131" s="24">
        <f>IF($M131="","",IFERROR(VLOOKUP($M131,Recursos!$A$6:$H$105,2,FALSE),""))</f>
        <v/>
      </c>
      <c r="P131" s="25" t="n"/>
      <c r="Q131" s="24">
        <f>IF($M131="","",IFERROR(VLOOKUP($M131,Recursos!$A$6:$H$105,5,FALSE),""))</f>
        <v/>
      </c>
      <c r="R131" s="26">
        <f>IF($M131="","",IFERROR(VLOOKUP($M131,Recursos!$A$6:$H$105,4,FALSE),""))</f>
        <v/>
      </c>
      <c r="S131" s="27">
        <f>IF($M131="","",IFERROR(VLOOKUP($M131,Recursos!$A$6:$H$105,6,FALSE),""))</f>
        <v/>
      </c>
      <c r="T131" s="27">
        <f>IF(OR($P131="",$S131=""),"",ROUND($P131*$S131,2))</f>
        <v/>
      </c>
      <c r="U131" s="18" t="n"/>
      <c r="V131" s="18" t="n"/>
      <c r="W131" s="18" t="n"/>
      <c r="X131" s="25" t="n"/>
      <c r="Y131" s="25" t="n"/>
      <c r="Z131" s="32" t="n"/>
      <c r="AA131" s="32" t="n"/>
      <c r="AB131" s="18" t="n"/>
      <c r="AC131" s="20" t="n"/>
      <c r="AD131" s="26">
        <f>IF($P131="","",MAX(0,$P131-N($X131)))</f>
        <v/>
      </c>
      <c r="AE131" s="23">
        <f>IF($A131="","",IF($M131="","Falta recurso",IF(IFERROR(VLOOKUP($M131,Recursos!$A$6:$H$105,7,FALSE),"No")&lt;&gt;"Sí","Recurso no activo",IF(OR($B131="",$H131="",$L131=""),"Faltan fecha u horarios",IF(OR($G131&gt;$H131,$H131&gt;$I131,$I131&gt;$J131,$J131&gt;$K131,$K131&gt;$L131),"Revisar secuencia horaria",IF(SUMPRODUCT(($B$6:$B$205=$B131)*($M$6:$M$205=$M131)*($H$6:$H$205&lt;$L131)*($L$6:$L$205&gt;$H131)*N($P$6:$P$205))&gt;N($R131),"Stock insuficiente",IF(AND($U131&lt;&gt;"",SUMPRODUCT(($B$6:$B$205=$B131)*($U$6:$U$205=$U131)*($A$6:$A$205&lt;&gt;$A131)*($H$6:$H$205&lt;$L131)*($L$6:$L$205&gt;$H131))&gt;0),"Vehículo solapado",IF(AND($Z131&lt;&gt;"",$J131&lt;&gt;"",$Z131&gt;$J131),"Entrega fuera de ventana",IF(AND($W131="Devuelto",N($Y131)&lt;N($X131)),"Devolución incompleta","")))))))))</f>
        <v/>
      </c>
      <c r="AF131" s="24">
        <f>IF($A131="","",IF(OR($B131="",$C131="",$D131="",$E131="",$H131="",$I131="",$J131="",$L131="",$M131="",$P131="",$U131="",$V131="",$W131=""),"Revisar",IF($AE131&lt;&gt;"","Revisar","Correcto")))</f>
        <v/>
      </c>
    </row>
    <row r="132">
      <c r="A132" s="18" t="n"/>
      <c r="B132" s="19" t="n"/>
      <c r="C132" s="20" t="n"/>
      <c r="D132" s="20" t="n"/>
      <c r="E132" s="18" t="n"/>
      <c r="F132" s="21" t="n"/>
      <c r="G132" s="32" t="n"/>
      <c r="H132" s="32" t="n"/>
      <c r="I132" s="32" t="n"/>
      <c r="J132" s="32" t="n"/>
      <c r="K132" s="32" t="n"/>
      <c r="L132" s="32" t="n"/>
      <c r="M132" s="18" t="n"/>
      <c r="N132" s="23">
        <f>IF($M132="","",IFERROR(VLOOKUP($M132,Recursos!$A$6:$H$105,3,FALSE),"Código no encontrado"))</f>
        <v/>
      </c>
      <c r="O132" s="24">
        <f>IF($M132="","",IFERROR(VLOOKUP($M132,Recursos!$A$6:$H$105,2,FALSE),""))</f>
        <v/>
      </c>
      <c r="P132" s="25" t="n"/>
      <c r="Q132" s="24">
        <f>IF($M132="","",IFERROR(VLOOKUP($M132,Recursos!$A$6:$H$105,5,FALSE),""))</f>
        <v/>
      </c>
      <c r="R132" s="26">
        <f>IF($M132="","",IFERROR(VLOOKUP($M132,Recursos!$A$6:$H$105,4,FALSE),""))</f>
        <v/>
      </c>
      <c r="S132" s="27">
        <f>IF($M132="","",IFERROR(VLOOKUP($M132,Recursos!$A$6:$H$105,6,FALSE),""))</f>
        <v/>
      </c>
      <c r="T132" s="27">
        <f>IF(OR($P132="",$S132=""),"",ROUND($P132*$S132,2))</f>
        <v/>
      </c>
      <c r="U132" s="18" t="n"/>
      <c r="V132" s="18" t="n"/>
      <c r="W132" s="18" t="n"/>
      <c r="X132" s="25" t="n"/>
      <c r="Y132" s="25" t="n"/>
      <c r="Z132" s="32" t="n"/>
      <c r="AA132" s="32" t="n"/>
      <c r="AB132" s="18" t="n"/>
      <c r="AC132" s="20" t="n"/>
      <c r="AD132" s="26">
        <f>IF($P132="","",MAX(0,$P132-N($X132)))</f>
        <v/>
      </c>
      <c r="AE132" s="23">
        <f>IF($A132="","",IF($M132="","Falta recurso",IF(IFERROR(VLOOKUP($M132,Recursos!$A$6:$H$105,7,FALSE),"No")&lt;&gt;"Sí","Recurso no activo",IF(OR($B132="",$H132="",$L132=""),"Faltan fecha u horarios",IF(OR($G132&gt;$H132,$H132&gt;$I132,$I132&gt;$J132,$J132&gt;$K132,$K132&gt;$L132),"Revisar secuencia horaria",IF(SUMPRODUCT(($B$6:$B$205=$B132)*($M$6:$M$205=$M132)*($H$6:$H$205&lt;$L132)*($L$6:$L$205&gt;$H132)*N($P$6:$P$205))&gt;N($R132),"Stock insuficiente",IF(AND($U132&lt;&gt;"",SUMPRODUCT(($B$6:$B$205=$B132)*($U$6:$U$205=$U132)*($A$6:$A$205&lt;&gt;$A132)*($H$6:$H$205&lt;$L132)*($L$6:$L$205&gt;$H132))&gt;0),"Vehículo solapado",IF(AND($Z132&lt;&gt;"",$J132&lt;&gt;"",$Z132&gt;$J132),"Entrega fuera de ventana",IF(AND($W132="Devuelto",N($Y132)&lt;N($X132)),"Devolución incompleta","")))))))))</f>
        <v/>
      </c>
      <c r="AF132" s="24">
        <f>IF($A132="","",IF(OR($B132="",$C132="",$D132="",$E132="",$H132="",$I132="",$J132="",$L132="",$M132="",$P132="",$U132="",$V132="",$W132=""),"Revisar",IF($AE132&lt;&gt;"","Revisar","Correcto")))</f>
        <v/>
      </c>
    </row>
    <row r="133">
      <c r="A133" s="18" t="n"/>
      <c r="B133" s="19" t="n"/>
      <c r="C133" s="20" t="n"/>
      <c r="D133" s="20" t="n"/>
      <c r="E133" s="18" t="n"/>
      <c r="F133" s="21" t="n"/>
      <c r="G133" s="32" t="n"/>
      <c r="H133" s="32" t="n"/>
      <c r="I133" s="32" t="n"/>
      <c r="J133" s="32" t="n"/>
      <c r="K133" s="32" t="n"/>
      <c r="L133" s="32" t="n"/>
      <c r="M133" s="18" t="n"/>
      <c r="N133" s="23">
        <f>IF($M133="","",IFERROR(VLOOKUP($M133,Recursos!$A$6:$H$105,3,FALSE),"Código no encontrado"))</f>
        <v/>
      </c>
      <c r="O133" s="24">
        <f>IF($M133="","",IFERROR(VLOOKUP($M133,Recursos!$A$6:$H$105,2,FALSE),""))</f>
        <v/>
      </c>
      <c r="P133" s="25" t="n"/>
      <c r="Q133" s="24">
        <f>IF($M133="","",IFERROR(VLOOKUP($M133,Recursos!$A$6:$H$105,5,FALSE),""))</f>
        <v/>
      </c>
      <c r="R133" s="26">
        <f>IF($M133="","",IFERROR(VLOOKUP($M133,Recursos!$A$6:$H$105,4,FALSE),""))</f>
        <v/>
      </c>
      <c r="S133" s="27">
        <f>IF($M133="","",IFERROR(VLOOKUP($M133,Recursos!$A$6:$H$105,6,FALSE),""))</f>
        <v/>
      </c>
      <c r="T133" s="27">
        <f>IF(OR($P133="",$S133=""),"",ROUND($P133*$S133,2))</f>
        <v/>
      </c>
      <c r="U133" s="18" t="n"/>
      <c r="V133" s="18" t="n"/>
      <c r="W133" s="18" t="n"/>
      <c r="X133" s="25" t="n"/>
      <c r="Y133" s="25" t="n"/>
      <c r="Z133" s="32" t="n"/>
      <c r="AA133" s="32" t="n"/>
      <c r="AB133" s="18" t="n"/>
      <c r="AC133" s="20" t="n"/>
      <c r="AD133" s="26">
        <f>IF($P133="","",MAX(0,$P133-N($X133)))</f>
        <v/>
      </c>
      <c r="AE133" s="23">
        <f>IF($A133="","",IF($M133="","Falta recurso",IF(IFERROR(VLOOKUP($M133,Recursos!$A$6:$H$105,7,FALSE),"No")&lt;&gt;"Sí","Recurso no activo",IF(OR($B133="",$H133="",$L133=""),"Faltan fecha u horarios",IF(OR($G133&gt;$H133,$H133&gt;$I133,$I133&gt;$J133,$J133&gt;$K133,$K133&gt;$L133),"Revisar secuencia horaria",IF(SUMPRODUCT(($B$6:$B$205=$B133)*($M$6:$M$205=$M133)*($H$6:$H$205&lt;$L133)*($L$6:$L$205&gt;$H133)*N($P$6:$P$205))&gt;N($R133),"Stock insuficiente",IF(AND($U133&lt;&gt;"",SUMPRODUCT(($B$6:$B$205=$B133)*($U$6:$U$205=$U133)*($A$6:$A$205&lt;&gt;$A133)*($H$6:$H$205&lt;$L133)*($L$6:$L$205&gt;$H133))&gt;0),"Vehículo solapado",IF(AND($Z133&lt;&gt;"",$J133&lt;&gt;"",$Z133&gt;$J133),"Entrega fuera de ventana",IF(AND($W133="Devuelto",N($Y133)&lt;N($X133)),"Devolución incompleta","")))))))))</f>
        <v/>
      </c>
      <c r="AF133" s="24">
        <f>IF($A133="","",IF(OR($B133="",$C133="",$D133="",$E133="",$H133="",$I133="",$J133="",$L133="",$M133="",$P133="",$U133="",$V133="",$W133=""),"Revisar",IF($AE133&lt;&gt;"","Revisar","Correcto")))</f>
        <v/>
      </c>
    </row>
    <row r="134">
      <c r="A134" s="18" t="n"/>
      <c r="B134" s="19" t="n"/>
      <c r="C134" s="20" t="n"/>
      <c r="D134" s="20" t="n"/>
      <c r="E134" s="18" t="n"/>
      <c r="F134" s="21" t="n"/>
      <c r="G134" s="32" t="n"/>
      <c r="H134" s="32" t="n"/>
      <c r="I134" s="32" t="n"/>
      <c r="J134" s="32" t="n"/>
      <c r="K134" s="32" t="n"/>
      <c r="L134" s="32" t="n"/>
      <c r="M134" s="18" t="n"/>
      <c r="N134" s="23">
        <f>IF($M134="","",IFERROR(VLOOKUP($M134,Recursos!$A$6:$H$105,3,FALSE),"Código no encontrado"))</f>
        <v/>
      </c>
      <c r="O134" s="24">
        <f>IF($M134="","",IFERROR(VLOOKUP($M134,Recursos!$A$6:$H$105,2,FALSE),""))</f>
        <v/>
      </c>
      <c r="P134" s="25" t="n"/>
      <c r="Q134" s="24">
        <f>IF($M134="","",IFERROR(VLOOKUP($M134,Recursos!$A$6:$H$105,5,FALSE),""))</f>
        <v/>
      </c>
      <c r="R134" s="26">
        <f>IF($M134="","",IFERROR(VLOOKUP($M134,Recursos!$A$6:$H$105,4,FALSE),""))</f>
        <v/>
      </c>
      <c r="S134" s="27">
        <f>IF($M134="","",IFERROR(VLOOKUP($M134,Recursos!$A$6:$H$105,6,FALSE),""))</f>
        <v/>
      </c>
      <c r="T134" s="27">
        <f>IF(OR($P134="",$S134=""),"",ROUND($P134*$S134,2))</f>
        <v/>
      </c>
      <c r="U134" s="18" t="n"/>
      <c r="V134" s="18" t="n"/>
      <c r="W134" s="18" t="n"/>
      <c r="X134" s="25" t="n"/>
      <c r="Y134" s="25" t="n"/>
      <c r="Z134" s="32" t="n"/>
      <c r="AA134" s="32" t="n"/>
      <c r="AB134" s="18" t="n"/>
      <c r="AC134" s="20" t="n"/>
      <c r="AD134" s="26">
        <f>IF($P134="","",MAX(0,$P134-N($X134)))</f>
        <v/>
      </c>
      <c r="AE134" s="23">
        <f>IF($A134="","",IF($M134="","Falta recurso",IF(IFERROR(VLOOKUP($M134,Recursos!$A$6:$H$105,7,FALSE),"No")&lt;&gt;"Sí","Recurso no activo",IF(OR($B134="",$H134="",$L134=""),"Faltan fecha u horarios",IF(OR($G134&gt;$H134,$H134&gt;$I134,$I134&gt;$J134,$J134&gt;$K134,$K134&gt;$L134),"Revisar secuencia horaria",IF(SUMPRODUCT(($B$6:$B$205=$B134)*($M$6:$M$205=$M134)*($H$6:$H$205&lt;$L134)*($L$6:$L$205&gt;$H134)*N($P$6:$P$205))&gt;N($R134),"Stock insuficiente",IF(AND($U134&lt;&gt;"",SUMPRODUCT(($B$6:$B$205=$B134)*($U$6:$U$205=$U134)*($A$6:$A$205&lt;&gt;$A134)*($H$6:$H$205&lt;$L134)*($L$6:$L$205&gt;$H134))&gt;0),"Vehículo solapado",IF(AND($Z134&lt;&gt;"",$J134&lt;&gt;"",$Z134&gt;$J134),"Entrega fuera de ventana",IF(AND($W134="Devuelto",N($Y134)&lt;N($X134)),"Devolución incompleta","")))))))))</f>
        <v/>
      </c>
      <c r="AF134" s="24">
        <f>IF($A134="","",IF(OR($B134="",$C134="",$D134="",$E134="",$H134="",$I134="",$J134="",$L134="",$M134="",$P134="",$U134="",$V134="",$W134=""),"Revisar",IF($AE134&lt;&gt;"","Revisar","Correcto")))</f>
        <v/>
      </c>
    </row>
    <row r="135">
      <c r="A135" s="18" t="n"/>
      <c r="B135" s="19" t="n"/>
      <c r="C135" s="20" t="n"/>
      <c r="D135" s="20" t="n"/>
      <c r="E135" s="18" t="n"/>
      <c r="F135" s="21" t="n"/>
      <c r="G135" s="32" t="n"/>
      <c r="H135" s="32" t="n"/>
      <c r="I135" s="32" t="n"/>
      <c r="J135" s="32" t="n"/>
      <c r="K135" s="32" t="n"/>
      <c r="L135" s="32" t="n"/>
      <c r="M135" s="18" t="n"/>
      <c r="N135" s="23">
        <f>IF($M135="","",IFERROR(VLOOKUP($M135,Recursos!$A$6:$H$105,3,FALSE),"Código no encontrado"))</f>
        <v/>
      </c>
      <c r="O135" s="24">
        <f>IF($M135="","",IFERROR(VLOOKUP($M135,Recursos!$A$6:$H$105,2,FALSE),""))</f>
        <v/>
      </c>
      <c r="P135" s="25" t="n"/>
      <c r="Q135" s="24">
        <f>IF($M135="","",IFERROR(VLOOKUP($M135,Recursos!$A$6:$H$105,5,FALSE),""))</f>
        <v/>
      </c>
      <c r="R135" s="26">
        <f>IF($M135="","",IFERROR(VLOOKUP($M135,Recursos!$A$6:$H$105,4,FALSE),""))</f>
        <v/>
      </c>
      <c r="S135" s="27">
        <f>IF($M135="","",IFERROR(VLOOKUP($M135,Recursos!$A$6:$H$105,6,FALSE),""))</f>
        <v/>
      </c>
      <c r="T135" s="27">
        <f>IF(OR($P135="",$S135=""),"",ROUND($P135*$S135,2))</f>
        <v/>
      </c>
      <c r="U135" s="18" t="n"/>
      <c r="V135" s="18" t="n"/>
      <c r="W135" s="18" t="n"/>
      <c r="X135" s="25" t="n"/>
      <c r="Y135" s="25" t="n"/>
      <c r="Z135" s="32" t="n"/>
      <c r="AA135" s="32" t="n"/>
      <c r="AB135" s="18" t="n"/>
      <c r="AC135" s="20" t="n"/>
      <c r="AD135" s="26">
        <f>IF($P135="","",MAX(0,$P135-N($X135)))</f>
        <v/>
      </c>
      <c r="AE135" s="23">
        <f>IF($A135="","",IF($M135="","Falta recurso",IF(IFERROR(VLOOKUP($M135,Recursos!$A$6:$H$105,7,FALSE),"No")&lt;&gt;"Sí","Recurso no activo",IF(OR($B135="",$H135="",$L135=""),"Faltan fecha u horarios",IF(OR($G135&gt;$H135,$H135&gt;$I135,$I135&gt;$J135,$J135&gt;$K135,$K135&gt;$L135),"Revisar secuencia horaria",IF(SUMPRODUCT(($B$6:$B$205=$B135)*($M$6:$M$205=$M135)*($H$6:$H$205&lt;$L135)*($L$6:$L$205&gt;$H135)*N($P$6:$P$205))&gt;N($R135),"Stock insuficiente",IF(AND($U135&lt;&gt;"",SUMPRODUCT(($B$6:$B$205=$B135)*($U$6:$U$205=$U135)*($A$6:$A$205&lt;&gt;$A135)*($H$6:$H$205&lt;$L135)*($L$6:$L$205&gt;$H135))&gt;0),"Vehículo solapado",IF(AND($Z135&lt;&gt;"",$J135&lt;&gt;"",$Z135&gt;$J135),"Entrega fuera de ventana",IF(AND($W135="Devuelto",N($Y135)&lt;N($X135)),"Devolución incompleta","")))))))))</f>
        <v/>
      </c>
      <c r="AF135" s="24">
        <f>IF($A135="","",IF(OR($B135="",$C135="",$D135="",$E135="",$H135="",$I135="",$J135="",$L135="",$M135="",$P135="",$U135="",$V135="",$W135=""),"Revisar",IF($AE135&lt;&gt;"","Revisar","Correcto")))</f>
        <v/>
      </c>
    </row>
    <row r="136">
      <c r="A136" s="18" t="n"/>
      <c r="B136" s="19" t="n"/>
      <c r="C136" s="20" t="n"/>
      <c r="D136" s="20" t="n"/>
      <c r="E136" s="18" t="n"/>
      <c r="F136" s="21" t="n"/>
      <c r="G136" s="32" t="n"/>
      <c r="H136" s="32" t="n"/>
      <c r="I136" s="32" t="n"/>
      <c r="J136" s="32" t="n"/>
      <c r="K136" s="32" t="n"/>
      <c r="L136" s="32" t="n"/>
      <c r="M136" s="18" t="n"/>
      <c r="N136" s="23">
        <f>IF($M136="","",IFERROR(VLOOKUP($M136,Recursos!$A$6:$H$105,3,FALSE),"Código no encontrado"))</f>
        <v/>
      </c>
      <c r="O136" s="24">
        <f>IF($M136="","",IFERROR(VLOOKUP($M136,Recursos!$A$6:$H$105,2,FALSE),""))</f>
        <v/>
      </c>
      <c r="P136" s="25" t="n"/>
      <c r="Q136" s="24">
        <f>IF($M136="","",IFERROR(VLOOKUP($M136,Recursos!$A$6:$H$105,5,FALSE),""))</f>
        <v/>
      </c>
      <c r="R136" s="26">
        <f>IF($M136="","",IFERROR(VLOOKUP($M136,Recursos!$A$6:$H$105,4,FALSE),""))</f>
        <v/>
      </c>
      <c r="S136" s="27">
        <f>IF($M136="","",IFERROR(VLOOKUP($M136,Recursos!$A$6:$H$105,6,FALSE),""))</f>
        <v/>
      </c>
      <c r="T136" s="27">
        <f>IF(OR($P136="",$S136=""),"",ROUND($P136*$S136,2))</f>
        <v/>
      </c>
      <c r="U136" s="18" t="n"/>
      <c r="V136" s="18" t="n"/>
      <c r="W136" s="18" t="n"/>
      <c r="X136" s="25" t="n"/>
      <c r="Y136" s="25" t="n"/>
      <c r="Z136" s="32" t="n"/>
      <c r="AA136" s="32" t="n"/>
      <c r="AB136" s="18" t="n"/>
      <c r="AC136" s="20" t="n"/>
      <c r="AD136" s="26">
        <f>IF($P136="","",MAX(0,$P136-N($X136)))</f>
        <v/>
      </c>
      <c r="AE136" s="23">
        <f>IF($A136="","",IF($M136="","Falta recurso",IF(IFERROR(VLOOKUP($M136,Recursos!$A$6:$H$105,7,FALSE),"No")&lt;&gt;"Sí","Recurso no activo",IF(OR($B136="",$H136="",$L136=""),"Faltan fecha u horarios",IF(OR($G136&gt;$H136,$H136&gt;$I136,$I136&gt;$J136,$J136&gt;$K136,$K136&gt;$L136),"Revisar secuencia horaria",IF(SUMPRODUCT(($B$6:$B$205=$B136)*($M$6:$M$205=$M136)*($H$6:$H$205&lt;$L136)*($L$6:$L$205&gt;$H136)*N($P$6:$P$205))&gt;N($R136),"Stock insuficiente",IF(AND($U136&lt;&gt;"",SUMPRODUCT(($B$6:$B$205=$B136)*($U$6:$U$205=$U136)*($A$6:$A$205&lt;&gt;$A136)*($H$6:$H$205&lt;$L136)*($L$6:$L$205&gt;$H136))&gt;0),"Vehículo solapado",IF(AND($Z136&lt;&gt;"",$J136&lt;&gt;"",$Z136&gt;$J136),"Entrega fuera de ventana",IF(AND($W136="Devuelto",N($Y136)&lt;N($X136)),"Devolución incompleta","")))))))))</f>
        <v/>
      </c>
      <c r="AF136" s="24">
        <f>IF($A136="","",IF(OR($B136="",$C136="",$D136="",$E136="",$H136="",$I136="",$J136="",$L136="",$M136="",$P136="",$U136="",$V136="",$W136=""),"Revisar",IF($AE136&lt;&gt;"","Revisar","Correcto")))</f>
        <v/>
      </c>
    </row>
    <row r="137">
      <c r="A137" s="18" t="n"/>
      <c r="B137" s="19" t="n"/>
      <c r="C137" s="20" t="n"/>
      <c r="D137" s="20" t="n"/>
      <c r="E137" s="18" t="n"/>
      <c r="F137" s="21" t="n"/>
      <c r="G137" s="32" t="n"/>
      <c r="H137" s="32" t="n"/>
      <c r="I137" s="32" t="n"/>
      <c r="J137" s="32" t="n"/>
      <c r="K137" s="32" t="n"/>
      <c r="L137" s="32" t="n"/>
      <c r="M137" s="18" t="n"/>
      <c r="N137" s="23">
        <f>IF($M137="","",IFERROR(VLOOKUP($M137,Recursos!$A$6:$H$105,3,FALSE),"Código no encontrado"))</f>
        <v/>
      </c>
      <c r="O137" s="24">
        <f>IF($M137="","",IFERROR(VLOOKUP($M137,Recursos!$A$6:$H$105,2,FALSE),""))</f>
        <v/>
      </c>
      <c r="P137" s="25" t="n"/>
      <c r="Q137" s="24">
        <f>IF($M137="","",IFERROR(VLOOKUP($M137,Recursos!$A$6:$H$105,5,FALSE),""))</f>
        <v/>
      </c>
      <c r="R137" s="26">
        <f>IF($M137="","",IFERROR(VLOOKUP($M137,Recursos!$A$6:$H$105,4,FALSE),""))</f>
        <v/>
      </c>
      <c r="S137" s="27">
        <f>IF($M137="","",IFERROR(VLOOKUP($M137,Recursos!$A$6:$H$105,6,FALSE),""))</f>
        <v/>
      </c>
      <c r="T137" s="27">
        <f>IF(OR($P137="",$S137=""),"",ROUND($P137*$S137,2))</f>
        <v/>
      </c>
      <c r="U137" s="18" t="n"/>
      <c r="V137" s="18" t="n"/>
      <c r="W137" s="18" t="n"/>
      <c r="X137" s="25" t="n"/>
      <c r="Y137" s="25" t="n"/>
      <c r="Z137" s="32" t="n"/>
      <c r="AA137" s="32" t="n"/>
      <c r="AB137" s="18" t="n"/>
      <c r="AC137" s="20" t="n"/>
      <c r="AD137" s="26">
        <f>IF($P137="","",MAX(0,$P137-N($X137)))</f>
        <v/>
      </c>
      <c r="AE137" s="23">
        <f>IF($A137="","",IF($M137="","Falta recurso",IF(IFERROR(VLOOKUP($M137,Recursos!$A$6:$H$105,7,FALSE),"No")&lt;&gt;"Sí","Recurso no activo",IF(OR($B137="",$H137="",$L137=""),"Faltan fecha u horarios",IF(OR($G137&gt;$H137,$H137&gt;$I137,$I137&gt;$J137,$J137&gt;$K137,$K137&gt;$L137),"Revisar secuencia horaria",IF(SUMPRODUCT(($B$6:$B$205=$B137)*($M$6:$M$205=$M137)*($H$6:$H$205&lt;$L137)*($L$6:$L$205&gt;$H137)*N($P$6:$P$205))&gt;N($R137),"Stock insuficiente",IF(AND($U137&lt;&gt;"",SUMPRODUCT(($B$6:$B$205=$B137)*($U$6:$U$205=$U137)*($A$6:$A$205&lt;&gt;$A137)*($H$6:$H$205&lt;$L137)*($L$6:$L$205&gt;$H137))&gt;0),"Vehículo solapado",IF(AND($Z137&lt;&gt;"",$J137&lt;&gt;"",$Z137&gt;$J137),"Entrega fuera de ventana",IF(AND($W137="Devuelto",N($Y137)&lt;N($X137)),"Devolución incompleta","")))))))))</f>
        <v/>
      </c>
      <c r="AF137" s="24">
        <f>IF($A137="","",IF(OR($B137="",$C137="",$D137="",$E137="",$H137="",$I137="",$J137="",$L137="",$M137="",$P137="",$U137="",$V137="",$W137=""),"Revisar",IF($AE137&lt;&gt;"","Revisar","Correcto")))</f>
        <v/>
      </c>
    </row>
    <row r="138">
      <c r="A138" s="18" t="n"/>
      <c r="B138" s="19" t="n"/>
      <c r="C138" s="20" t="n"/>
      <c r="D138" s="20" t="n"/>
      <c r="E138" s="18" t="n"/>
      <c r="F138" s="21" t="n"/>
      <c r="G138" s="32" t="n"/>
      <c r="H138" s="32" t="n"/>
      <c r="I138" s="32" t="n"/>
      <c r="J138" s="32" t="n"/>
      <c r="K138" s="32" t="n"/>
      <c r="L138" s="32" t="n"/>
      <c r="M138" s="18" t="n"/>
      <c r="N138" s="23">
        <f>IF($M138="","",IFERROR(VLOOKUP($M138,Recursos!$A$6:$H$105,3,FALSE),"Código no encontrado"))</f>
        <v/>
      </c>
      <c r="O138" s="24">
        <f>IF($M138="","",IFERROR(VLOOKUP($M138,Recursos!$A$6:$H$105,2,FALSE),""))</f>
        <v/>
      </c>
      <c r="P138" s="25" t="n"/>
      <c r="Q138" s="24">
        <f>IF($M138="","",IFERROR(VLOOKUP($M138,Recursos!$A$6:$H$105,5,FALSE),""))</f>
        <v/>
      </c>
      <c r="R138" s="26">
        <f>IF($M138="","",IFERROR(VLOOKUP($M138,Recursos!$A$6:$H$105,4,FALSE),""))</f>
        <v/>
      </c>
      <c r="S138" s="27">
        <f>IF($M138="","",IFERROR(VLOOKUP($M138,Recursos!$A$6:$H$105,6,FALSE),""))</f>
        <v/>
      </c>
      <c r="T138" s="27">
        <f>IF(OR($P138="",$S138=""),"",ROUND($P138*$S138,2))</f>
        <v/>
      </c>
      <c r="U138" s="18" t="n"/>
      <c r="V138" s="18" t="n"/>
      <c r="W138" s="18" t="n"/>
      <c r="X138" s="25" t="n"/>
      <c r="Y138" s="25" t="n"/>
      <c r="Z138" s="32" t="n"/>
      <c r="AA138" s="32" t="n"/>
      <c r="AB138" s="18" t="n"/>
      <c r="AC138" s="20" t="n"/>
      <c r="AD138" s="26">
        <f>IF($P138="","",MAX(0,$P138-N($X138)))</f>
        <v/>
      </c>
      <c r="AE138" s="23">
        <f>IF($A138="","",IF($M138="","Falta recurso",IF(IFERROR(VLOOKUP($M138,Recursos!$A$6:$H$105,7,FALSE),"No")&lt;&gt;"Sí","Recurso no activo",IF(OR($B138="",$H138="",$L138=""),"Faltan fecha u horarios",IF(OR($G138&gt;$H138,$H138&gt;$I138,$I138&gt;$J138,$J138&gt;$K138,$K138&gt;$L138),"Revisar secuencia horaria",IF(SUMPRODUCT(($B$6:$B$205=$B138)*($M$6:$M$205=$M138)*($H$6:$H$205&lt;$L138)*($L$6:$L$205&gt;$H138)*N($P$6:$P$205))&gt;N($R138),"Stock insuficiente",IF(AND($U138&lt;&gt;"",SUMPRODUCT(($B$6:$B$205=$B138)*($U$6:$U$205=$U138)*($A$6:$A$205&lt;&gt;$A138)*($H$6:$H$205&lt;$L138)*($L$6:$L$205&gt;$H138))&gt;0),"Vehículo solapado",IF(AND($Z138&lt;&gt;"",$J138&lt;&gt;"",$Z138&gt;$J138),"Entrega fuera de ventana",IF(AND($W138="Devuelto",N($Y138)&lt;N($X138)),"Devolución incompleta","")))))))))</f>
        <v/>
      </c>
      <c r="AF138" s="24">
        <f>IF($A138="","",IF(OR($B138="",$C138="",$D138="",$E138="",$H138="",$I138="",$J138="",$L138="",$M138="",$P138="",$U138="",$V138="",$W138=""),"Revisar",IF($AE138&lt;&gt;"","Revisar","Correcto")))</f>
        <v/>
      </c>
    </row>
    <row r="139">
      <c r="A139" s="18" t="n"/>
      <c r="B139" s="19" t="n"/>
      <c r="C139" s="20" t="n"/>
      <c r="D139" s="20" t="n"/>
      <c r="E139" s="18" t="n"/>
      <c r="F139" s="21" t="n"/>
      <c r="G139" s="32" t="n"/>
      <c r="H139" s="32" t="n"/>
      <c r="I139" s="32" t="n"/>
      <c r="J139" s="32" t="n"/>
      <c r="K139" s="32" t="n"/>
      <c r="L139" s="32" t="n"/>
      <c r="M139" s="18" t="n"/>
      <c r="N139" s="23">
        <f>IF($M139="","",IFERROR(VLOOKUP($M139,Recursos!$A$6:$H$105,3,FALSE),"Código no encontrado"))</f>
        <v/>
      </c>
      <c r="O139" s="24">
        <f>IF($M139="","",IFERROR(VLOOKUP($M139,Recursos!$A$6:$H$105,2,FALSE),""))</f>
        <v/>
      </c>
      <c r="P139" s="25" t="n"/>
      <c r="Q139" s="24">
        <f>IF($M139="","",IFERROR(VLOOKUP($M139,Recursos!$A$6:$H$105,5,FALSE),""))</f>
        <v/>
      </c>
      <c r="R139" s="26">
        <f>IF($M139="","",IFERROR(VLOOKUP($M139,Recursos!$A$6:$H$105,4,FALSE),""))</f>
        <v/>
      </c>
      <c r="S139" s="27">
        <f>IF($M139="","",IFERROR(VLOOKUP($M139,Recursos!$A$6:$H$105,6,FALSE),""))</f>
        <v/>
      </c>
      <c r="T139" s="27">
        <f>IF(OR($P139="",$S139=""),"",ROUND($P139*$S139,2))</f>
        <v/>
      </c>
      <c r="U139" s="18" t="n"/>
      <c r="V139" s="18" t="n"/>
      <c r="W139" s="18" t="n"/>
      <c r="X139" s="25" t="n"/>
      <c r="Y139" s="25" t="n"/>
      <c r="Z139" s="32" t="n"/>
      <c r="AA139" s="32" t="n"/>
      <c r="AB139" s="18" t="n"/>
      <c r="AC139" s="20" t="n"/>
      <c r="AD139" s="26">
        <f>IF($P139="","",MAX(0,$P139-N($X139)))</f>
        <v/>
      </c>
      <c r="AE139" s="23">
        <f>IF($A139="","",IF($M139="","Falta recurso",IF(IFERROR(VLOOKUP($M139,Recursos!$A$6:$H$105,7,FALSE),"No")&lt;&gt;"Sí","Recurso no activo",IF(OR($B139="",$H139="",$L139=""),"Faltan fecha u horarios",IF(OR($G139&gt;$H139,$H139&gt;$I139,$I139&gt;$J139,$J139&gt;$K139,$K139&gt;$L139),"Revisar secuencia horaria",IF(SUMPRODUCT(($B$6:$B$205=$B139)*($M$6:$M$205=$M139)*($H$6:$H$205&lt;$L139)*($L$6:$L$205&gt;$H139)*N($P$6:$P$205))&gt;N($R139),"Stock insuficiente",IF(AND($U139&lt;&gt;"",SUMPRODUCT(($B$6:$B$205=$B139)*($U$6:$U$205=$U139)*($A$6:$A$205&lt;&gt;$A139)*($H$6:$H$205&lt;$L139)*($L$6:$L$205&gt;$H139))&gt;0),"Vehículo solapado",IF(AND($Z139&lt;&gt;"",$J139&lt;&gt;"",$Z139&gt;$J139),"Entrega fuera de ventana",IF(AND($W139="Devuelto",N($Y139)&lt;N($X139)),"Devolución incompleta","")))))))))</f>
        <v/>
      </c>
      <c r="AF139" s="24">
        <f>IF($A139="","",IF(OR($B139="",$C139="",$D139="",$E139="",$H139="",$I139="",$J139="",$L139="",$M139="",$P139="",$U139="",$V139="",$W139=""),"Revisar",IF($AE139&lt;&gt;"","Revisar","Correcto")))</f>
        <v/>
      </c>
    </row>
    <row r="140">
      <c r="A140" s="18" t="n"/>
      <c r="B140" s="19" t="n"/>
      <c r="C140" s="20" t="n"/>
      <c r="D140" s="20" t="n"/>
      <c r="E140" s="18" t="n"/>
      <c r="F140" s="21" t="n"/>
      <c r="G140" s="32" t="n"/>
      <c r="H140" s="32" t="n"/>
      <c r="I140" s="32" t="n"/>
      <c r="J140" s="32" t="n"/>
      <c r="K140" s="32" t="n"/>
      <c r="L140" s="32" t="n"/>
      <c r="M140" s="18" t="n"/>
      <c r="N140" s="23">
        <f>IF($M140="","",IFERROR(VLOOKUP($M140,Recursos!$A$6:$H$105,3,FALSE),"Código no encontrado"))</f>
        <v/>
      </c>
      <c r="O140" s="24">
        <f>IF($M140="","",IFERROR(VLOOKUP($M140,Recursos!$A$6:$H$105,2,FALSE),""))</f>
        <v/>
      </c>
      <c r="P140" s="25" t="n"/>
      <c r="Q140" s="24">
        <f>IF($M140="","",IFERROR(VLOOKUP($M140,Recursos!$A$6:$H$105,5,FALSE),""))</f>
        <v/>
      </c>
      <c r="R140" s="26">
        <f>IF($M140="","",IFERROR(VLOOKUP($M140,Recursos!$A$6:$H$105,4,FALSE),""))</f>
        <v/>
      </c>
      <c r="S140" s="27">
        <f>IF($M140="","",IFERROR(VLOOKUP($M140,Recursos!$A$6:$H$105,6,FALSE),""))</f>
        <v/>
      </c>
      <c r="T140" s="27">
        <f>IF(OR($P140="",$S140=""),"",ROUND($P140*$S140,2))</f>
        <v/>
      </c>
      <c r="U140" s="18" t="n"/>
      <c r="V140" s="18" t="n"/>
      <c r="W140" s="18" t="n"/>
      <c r="X140" s="25" t="n"/>
      <c r="Y140" s="25" t="n"/>
      <c r="Z140" s="32" t="n"/>
      <c r="AA140" s="32" t="n"/>
      <c r="AB140" s="18" t="n"/>
      <c r="AC140" s="20" t="n"/>
      <c r="AD140" s="26">
        <f>IF($P140="","",MAX(0,$P140-N($X140)))</f>
        <v/>
      </c>
      <c r="AE140" s="23">
        <f>IF($A140="","",IF($M140="","Falta recurso",IF(IFERROR(VLOOKUP($M140,Recursos!$A$6:$H$105,7,FALSE),"No")&lt;&gt;"Sí","Recurso no activo",IF(OR($B140="",$H140="",$L140=""),"Faltan fecha u horarios",IF(OR($G140&gt;$H140,$H140&gt;$I140,$I140&gt;$J140,$J140&gt;$K140,$K140&gt;$L140),"Revisar secuencia horaria",IF(SUMPRODUCT(($B$6:$B$205=$B140)*($M$6:$M$205=$M140)*($H$6:$H$205&lt;$L140)*($L$6:$L$205&gt;$H140)*N($P$6:$P$205))&gt;N($R140),"Stock insuficiente",IF(AND($U140&lt;&gt;"",SUMPRODUCT(($B$6:$B$205=$B140)*($U$6:$U$205=$U140)*($A$6:$A$205&lt;&gt;$A140)*($H$6:$H$205&lt;$L140)*($L$6:$L$205&gt;$H140))&gt;0),"Vehículo solapado",IF(AND($Z140&lt;&gt;"",$J140&lt;&gt;"",$Z140&gt;$J140),"Entrega fuera de ventana",IF(AND($W140="Devuelto",N($Y140)&lt;N($X140)),"Devolución incompleta","")))))))))</f>
        <v/>
      </c>
      <c r="AF140" s="24">
        <f>IF($A140="","",IF(OR($B140="",$C140="",$D140="",$E140="",$H140="",$I140="",$J140="",$L140="",$M140="",$P140="",$U140="",$V140="",$W140=""),"Revisar",IF($AE140&lt;&gt;"","Revisar","Correcto")))</f>
        <v/>
      </c>
    </row>
    <row r="141">
      <c r="A141" s="18" t="n"/>
      <c r="B141" s="19" t="n"/>
      <c r="C141" s="20" t="n"/>
      <c r="D141" s="20" t="n"/>
      <c r="E141" s="18" t="n"/>
      <c r="F141" s="21" t="n"/>
      <c r="G141" s="32" t="n"/>
      <c r="H141" s="32" t="n"/>
      <c r="I141" s="32" t="n"/>
      <c r="J141" s="32" t="n"/>
      <c r="K141" s="32" t="n"/>
      <c r="L141" s="32" t="n"/>
      <c r="M141" s="18" t="n"/>
      <c r="N141" s="23">
        <f>IF($M141="","",IFERROR(VLOOKUP($M141,Recursos!$A$6:$H$105,3,FALSE),"Código no encontrado"))</f>
        <v/>
      </c>
      <c r="O141" s="24">
        <f>IF($M141="","",IFERROR(VLOOKUP($M141,Recursos!$A$6:$H$105,2,FALSE),""))</f>
        <v/>
      </c>
      <c r="P141" s="25" t="n"/>
      <c r="Q141" s="24">
        <f>IF($M141="","",IFERROR(VLOOKUP($M141,Recursos!$A$6:$H$105,5,FALSE),""))</f>
        <v/>
      </c>
      <c r="R141" s="26">
        <f>IF($M141="","",IFERROR(VLOOKUP($M141,Recursos!$A$6:$H$105,4,FALSE),""))</f>
        <v/>
      </c>
      <c r="S141" s="27">
        <f>IF($M141="","",IFERROR(VLOOKUP($M141,Recursos!$A$6:$H$105,6,FALSE),""))</f>
        <v/>
      </c>
      <c r="T141" s="27">
        <f>IF(OR($P141="",$S141=""),"",ROUND($P141*$S141,2))</f>
        <v/>
      </c>
      <c r="U141" s="18" t="n"/>
      <c r="V141" s="18" t="n"/>
      <c r="W141" s="18" t="n"/>
      <c r="X141" s="25" t="n"/>
      <c r="Y141" s="25" t="n"/>
      <c r="Z141" s="32" t="n"/>
      <c r="AA141" s="32" t="n"/>
      <c r="AB141" s="18" t="n"/>
      <c r="AC141" s="20" t="n"/>
      <c r="AD141" s="26">
        <f>IF($P141="","",MAX(0,$P141-N($X141)))</f>
        <v/>
      </c>
      <c r="AE141" s="23">
        <f>IF($A141="","",IF($M141="","Falta recurso",IF(IFERROR(VLOOKUP($M141,Recursos!$A$6:$H$105,7,FALSE),"No")&lt;&gt;"Sí","Recurso no activo",IF(OR($B141="",$H141="",$L141=""),"Faltan fecha u horarios",IF(OR($G141&gt;$H141,$H141&gt;$I141,$I141&gt;$J141,$J141&gt;$K141,$K141&gt;$L141),"Revisar secuencia horaria",IF(SUMPRODUCT(($B$6:$B$205=$B141)*($M$6:$M$205=$M141)*($H$6:$H$205&lt;$L141)*($L$6:$L$205&gt;$H141)*N($P$6:$P$205))&gt;N($R141),"Stock insuficiente",IF(AND($U141&lt;&gt;"",SUMPRODUCT(($B$6:$B$205=$B141)*($U$6:$U$205=$U141)*($A$6:$A$205&lt;&gt;$A141)*($H$6:$H$205&lt;$L141)*($L$6:$L$205&gt;$H141))&gt;0),"Vehículo solapado",IF(AND($Z141&lt;&gt;"",$J141&lt;&gt;"",$Z141&gt;$J141),"Entrega fuera de ventana",IF(AND($W141="Devuelto",N($Y141)&lt;N($X141)),"Devolución incompleta","")))))))))</f>
        <v/>
      </c>
      <c r="AF141" s="24">
        <f>IF($A141="","",IF(OR($B141="",$C141="",$D141="",$E141="",$H141="",$I141="",$J141="",$L141="",$M141="",$P141="",$U141="",$V141="",$W141=""),"Revisar",IF($AE141&lt;&gt;"","Revisar","Correcto")))</f>
        <v/>
      </c>
    </row>
    <row r="142">
      <c r="A142" s="18" t="n"/>
      <c r="B142" s="19" t="n"/>
      <c r="C142" s="20" t="n"/>
      <c r="D142" s="20" t="n"/>
      <c r="E142" s="18" t="n"/>
      <c r="F142" s="21" t="n"/>
      <c r="G142" s="32" t="n"/>
      <c r="H142" s="32" t="n"/>
      <c r="I142" s="32" t="n"/>
      <c r="J142" s="32" t="n"/>
      <c r="K142" s="32" t="n"/>
      <c r="L142" s="32" t="n"/>
      <c r="M142" s="18" t="n"/>
      <c r="N142" s="23">
        <f>IF($M142="","",IFERROR(VLOOKUP($M142,Recursos!$A$6:$H$105,3,FALSE),"Código no encontrado"))</f>
        <v/>
      </c>
      <c r="O142" s="24">
        <f>IF($M142="","",IFERROR(VLOOKUP($M142,Recursos!$A$6:$H$105,2,FALSE),""))</f>
        <v/>
      </c>
      <c r="P142" s="25" t="n"/>
      <c r="Q142" s="24">
        <f>IF($M142="","",IFERROR(VLOOKUP($M142,Recursos!$A$6:$H$105,5,FALSE),""))</f>
        <v/>
      </c>
      <c r="R142" s="26">
        <f>IF($M142="","",IFERROR(VLOOKUP($M142,Recursos!$A$6:$H$105,4,FALSE),""))</f>
        <v/>
      </c>
      <c r="S142" s="27">
        <f>IF($M142="","",IFERROR(VLOOKUP($M142,Recursos!$A$6:$H$105,6,FALSE),""))</f>
        <v/>
      </c>
      <c r="T142" s="27">
        <f>IF(OR($P142="",$S142=""),"",ROUND($P142*$S142,2))</f>
        <v/>
      </c>
      <c r="U142" s="18" t="n"/>
      <c r="V142" s="18" t="n"/>
      <c r="W142" s="18" t="n"/>
      <c r="X142" s="25" t="n"/>
      <c r="Y142" s="25" t="n"/>
      <c r="Z142" s="32" t="n"/>
      <c r="AA142" s="32" t="n"/>
      <c r="AB142" s="18" t="n"/>
      <c r="AC142" s="20" t="n"/>
      <c r="AD142" s="26">
        <f>IF($P142="","",MAX(0,$P142-N($X142)))</f>
        <v/>
      </c>
      <c r="AE142" s="23">
        <f>IF($A142="","",IF($M142="","Falta recurso",IF(IFERROR(VLOOKUP($M142,Recursos!$A$6:$H$105,7,FALSE),"No")&lt;&gt;"Sí","Recurso no activo",IF(OR($B142="",$H142="",$L142=""),"Faltan fecha u horarios",IF(OR($G142&gt;$H142,$H142&gt;$I142,$I142&gt;$J142,$J142&gt;$K142,$K142&gt;$L142),"Revisar secuencia horaria",IF(SUMPRODUCT(($B$6:$B$205=$B142)*($M$6:$M$205=$M142)*($H$6:$H$205&lt;$L142)*($L$6:$L$205&gt;$H142)*N($P$6:$P$205))&gt;N($R142),"Stock insuficiente",IF(AND($U142&lt;&gt;"",SUMPRODUCT(($B$6:$B$205=$B142)*($U$6:$U$205=$U142)*($A$6:$A$205&lt;&gt;$A142)*($H$6:$H$205&lt;$L142)*($L$6:$L$205&gt;$H142))&gt;0),"Vehículo solapado",IF(AND($Z142&lt;&gt;"",$J142&lt;&gt;"",$Z142&gt;$J142),"Entrega fuera de ventana",IF(AND($W142="Devuelto",N($Y142)&lt;N($X142)),"Devolución incompleta","")))))))))</f>
        <v/>
      </c>
      <c r="AF142" s="24">
        <f>IF($A142="","",IF(OR($B142="",$C142="",$D142="",$E142="",$H142="",$I142="",$J142="",$L142="",$M142="",$P142="",$U142="",$V142="",$W142=""),"Revisar",IF($AE142&lt;&gt;"","Revisar","Correcto")))</f>
        <v/>
      </c>
    </row>
    <row r="143">
      <c r="A143" s="18" t="n"/>
      <c r="B143" s="19" t="n"/>
      <c r="C143" s="20" t="n"/>
      <c r="D143" s="20" t="n"/>
      <c r="E143" s="18" t="n"/>
      <c r="F143" s="21" t="n"/>
      <c r="G143" s="32" t="n"/>
      <c r="H143" s="32" t="n"/>
      <c r="I143" s="32" t="n"/>
      <c r="J143" s="32" t="n"/>
      <c r="K143" s="32" t="n"/>
      <c r="L143" s="32" t="n"/>
      <c r="M143" s="18" t="n"/>
      <c r="N143" s="23">
        <f>IF($M143="","",IFERROR(VLOOKUP($M143,Recursos!$A$6:$H$105,3,FALSE),"Código no encontrado"))</f>
        <v/>
      </c>
      <c r="O143" s="24">
        <f>IF($M143="","",IFERROR(VLOOKUP($M143,Recursos!$A$6:$H$105,2,FALSE),""))</f>
        <v/>
      </c>
      <c r="P143" s="25" t="n"/>
      <c r="Q143" s="24">
        <f>IF($M143="","",IFERROR(VLOOKUP($M143,Recursos!$A$6:$H$105,5,FALSE),""))</f>
        <v/>
      </c>
      <c r="R143" s="26">
        <f>IF($M143="","",IFERROR(VLOOKUP($M143,Recursos!$A$6:$H$105,4,FALSE),""))</f>
        <v/>
      </c>
      <c r="S143" s="27">
        <f>IF($M143="","",IFERROR(VLOOKUP($M143,Recursos!$A$6:$H$105,6,FALSE),""))</f>
        <v/>
      </c>
      <c r="T143" s="27">
        <f>IF(OR($P143="",$S143=""),"",ROUND($P143*$S143,2))</f>
        <v/>
      </c>
      <c r="U143" s="18" t="n"/>
      <c r="V143" s="18" t="n"/>
      <c r="W143" s="18" t="n"/>
      <c r="X143" s="25" t="n"/>
      <c r="Y143" s="25" t="n"/>
      <c r="Z143" s="32" t="n"/>
      <c r="AA143" s="32" t="n"/>
      <c r="AB143" s="18" t="n"/>
      <c r="AC143" s="20" t="n"/>
      <c r="AD143" s="26">
        <f>IF($P143="","",MAX(0,$P143-N($X143)))</f>
        <v/>
      </c>
      <c r="AE143" s="23">
        <f>IF($A143="","",IF($M143="","Falta recurso",IF(IFERROR(VLOOKUP($M143,Recursos!$A$6:$H$105,7,FALSE),"No")&lt;&gt;"Sí","Recurso no activo",IF(OR($B143="",$H143="",$L143=""),"Faltan fecha u horarios",IF(OR($G143&gt;$H143,$H143&gt;$I143,$I143&gt;$J143,$J143&gt;$K143,$K143&gt;$L143),"Revisar secuencia horaria",IF(SUMPRODUCT(($B$6:$B$205=$B143)*($M$6:$M$205=$M143)*($H$6:$H$205&lt;$L143)*($L$6:$L$205&gt;$H143)*N($P$6:$P$205))&gt;N($R143),"Stock insuficiente",IF(AND($U143&lt;&gt;"",SUMPRODUCT(($B$6:$B$205=$B143)*($U$6:$U$205=$U143)*($A$6:$A$205&lt;&gt;$A143)*($H$6:$H$205&lt;$L143)*($L$6:$L$205&gt;$H143))&gt;0),"Vehículo solapado",IF(AND($Z143&lt;&gt;"",$J143&lt;&gt;"",$Z143&gt;$J143),"Entrega fuera de ventana",IF(AND($W143="Devuelto",N($Y143)&lt;N($X143)),"Devolución incompleta","")))))))))</f>
        <v/>
      </c>
      <c r="AF143" s="24">
        <f>IF($A143="","",IF(OR($B143="",$C143="",$D143="",$E143="",$H143="",$I143="",$J143="",$L143="",$M143="",$P143="",$U143="",$V143="",$W143=""),"Revisar",IF($AE143&lt;&gt;"","Revisar","Correcto")))</f>
        <v/>
      </c>
    </row>
    <row r="144">
      <c r="A144" s="18" t="n"/>
      <c r="B144" s="19" t="n"/>
      <c r="C144" s="20" t="n"/>
      <c r="D144" s="20" t="n"/>
      <c r="E144" s="18" t="n"/>
      <c r="F144" s="21" t="n"/>
      <c r="G144" s="32" t="n"/>
      <c r="H144" s="32" t="n"/>
      <c r="I144" s="32" t="n"/>
      <c r="J144" s="32" t="n"/>
      <c r="K144" s="32" t="n"/>
      <c r="L144" s="32" t="n"/>
      <c r="M144" s="18" t="n"/>
      <c r="N144" s="23">
        <f>IF($M144="","",IFERROR(VLOOKUP($M144,Recursos!$A$6:$H$105,3,FALSE),"Código no encontrado"))</f>
        <v/>
      </c>
      <c r="O144" s="24">
        <f>IF($M144="","",IFERROR(VLOOKUP($M144,Recursos!$A$6:$H$105,2,FALSE),""))</f>
        <v/>
      </c>
      <c r="P144" s="25" t="n"/>
      <c r="Q144" s="24">
        <f>IF($M144="","",IFERROR(VLOOKUP($M144,Recursos!$A$6:$H$105,5,FALSE),""))</f>
        <v/>
      </c>
      <c r="R144" s="26">
        <f>IF($M144="","",IFERROR(VLOOKUP($M144,Recursos!$A$6:$H$105,4,FALSE),""))</f>
        <v/>
      </c>
      <c r="S144" s="27">
        <f>IF($M144="","",IFERROR(VLOOKUP($M144,Recursos!$A$6:$H$105,6,FALSE),""))</f>
        <v/>
      </c>
      <c r="T144" s="27">
        <f>IF(OR($P144="",$S144=""),"",ROUND($P144*$S144,2))</f>
        <v/>
      </c>
      <c r="U144" s="18" t="n"/>
      <c r="V144" s="18" t="n"/>
      <c r="W144" s="18" t="n"/>
      <c r="X144" s="25" t="n"/>
      <c r="Y144" s="25" t="n"/>
      <c r="Z144" s="32" t="n"/>
      <c r="AA144" s="32" t="n"/>
      <c r="AB144" s="18" t="n"/>
      <c r="AC144" s="20" t="n"/>
      <c r="AD144" s="26">
        <f>IF($P144="","",MAX(0,$P144-N($X144)))</f>
        <v/>
      </c>
      <c r="AE144" s="23">
        <f>IF($A144="","",IF($M144="","Falta recurso",IF(IFERROR(VLOOKUP($M144,Recursos!$A$6:$H$105,7,FALSE),"No")&lt;&gt;"Sí","Recurso no activo",IF(OR($B144="",$H144="",$L144=""),"Faltan fecha u horarios",IF(OR($G144&gt;$H144,$H144&gt;$I144,$I144&gt;$J144,$J144&gt;$K144,$K144&gt;$L144),"Revisar secuencia horaria",IF(SUMPRODUCT(($B$6:$B$205=$B144)*($M$6:$M$205=$M144)*($H$6:$H$205&lt;$L144)*($L$6:$L$205&gt;$H144)*N($P$6:$P$205))&gt;N($R144),"Stock insuficiente",IF(AND($U144&lt;&gt;"",SUMPRODUCT(($B$6:$B$205=$B144)*($U$6:$U$205=$U144)*($A$6:$A$205&lt;&gt;$A144)*($H$6:$H$205&lt;$L144)*($L$6:$L$205&gt;$H144))&gt;0),"Vehículo solapado",IF(AND($Z144&lt;&gt;"",$J144&lt;&gt;"",$Z144&gt;$J144),"Entrega fuera de ventana",IF(AND($W144="Devuelto",N($Y144)&lt;N($X144)),"Devolución incompleta","")))))))))</f>
        <v/>
      </c>
      <c r="AF144" s="24">
        <f>IF($A144="","",IF(OR($B144="",$C144="",$D144="",$E144="",$H144="",$I144="",$J144="",$L144="",$M144="",$P144="",$U144="",$V144="",$W144=""),"Revisar",IF($AE144&lt;&gt;"","Revisar","Correcto")))</f>
        <v/>
      </c>
    </row>
    <row r="145">
      <c r="A145" s="18" t="n"/>
      <c r="B145" s="19" t="n"/>
      <c r="C145" s="20" t="n"/>
      <c r="D145" s="20" t="n"/>
      <c r="E145" s="18" t="n"/>
      <c r="F145" s="21" t="n"/>
      <c r="G145" s="32" t="n"/>
      <c r="H145" s="32" t="n"/>
      <c r="I145" s="32" t="n"/>
      <c r="J145" s="32" t="n"/>
      <c r="K145" s="32" t="n"/>
      <c r="L145" s="32" t="n"/>
      <c r="M145" s="18" t="n"/>
      <c r="N145" s="23">
        <f>IF($M145="","",IFERROR(VLOOKUP($M145,Recursos!$A$6:$H$105,3,FALSE),"Código no encontrado"))</f>
        <v/>
      </c>
      <c r="O145" s="24">
        <f>IF($M145="","",IFERROR(VLOOKUP($M145,Recursos!$A$6:$H$105,2,FALSE),""))</f>
        <v/>
      </c>
      <c r="P145" s="25" t="n"/>
      <c r="Q145" s="24">
        <f>IF($M145="","",IFERROR(VLOOKUP($M145,Recursos!$A$6:$H$105,5,FALSE),""))</f>
        <v/>
      </c>
      <c r="R145" s="26">
        <f>IF($M145="","",IFERROR(VLOOKUP($M145,Recursos!$A$6:$H$105,4,FALSE),""))</f>
        <v/>
      </c>
      <c r="S145" s="27">
        <f>IF($M145="","",IFERROR(VLOOKUP($M145,Recursos!$A$6:$H$105,6,FALSE),""))</f>
        <v/>
      </c>
      <c r="T145" s="27">
        <f>IF(OR($P145="",$S145=""),"",ROUND($P145*$S145,2))</f>
        <v/>
      </c>
      <c r="U145" s="18" t="n"/>
      <c r="V145" s="18" t="n"/>
      <c r="W145" s="18" t="n"/>
      <c r="X145" s="25" t="n"/>
      <c r="Y145" s="25" t="n"/>
      <c r="Z145" s="32" t="n"/>
      <c r="AA145" s="32" t="n"/>
      <c r="AB145" s="18" t="n"/>
      <c r="AC145" s="20" t="n"/>
      <c r="AD145" s="26">
        <f>IF($P145="","",MAX(0,$P145-N($X145)))</f>
        <v/>
      </c>
      <c r="AE145" s="23">
        <f>IF($A145="","",IF($M145="","Falta recurso",IF(IFERROR(VLOOKUP($M145,Recursos!$A$6:$H$105,7,FALSE),"No")&lt;&gt;"Sí","Recurso no activo",IF(OR($B145="",$H145="",$L145=""),"Faltan fecha u horarios",IF(OR($G145&gt;$H145,$H145&gt;$I145,$I145&gt;$J145,$J145&gt;$K145,$K145&gt;$L145),"Revisar secuencia horaria",IF(SUMPRODUCT(($B$6:$B$205=$B145)*($M$6:$M$205=$M145)*($H$6:$H$205&lt;$L145)*($L$6:$L$205&gt;$H145)*N($P$6:$P$205))&gt;N($R145),"Stock insuficiente",IF(AND($U145&lt;&gt;"",SUMPRODUCT(($B$6:$B$205=$B145)*($U$6:$U$205=$U145)*($A$6:$A$205&lt;&gt;$A145)*($H$6:$H$205&lt;$L145)*($L$6:$L$205&gt;$H145))&gt;0),"Vehículo solapado",IF(AND($Z145&lt;&gt;"",$J145&lt;&gt;"",$Z145&gt;$J145),"Entrega fuera de ventana",IF(AND($W145="Devuelto",N($Y145)&lt;N($X145)),"Devolución incompleta","")))))))))</f>
        <v/>
      </c>
      <c r="AF145" s="24">
        <f>IF($A145="","",IF(OR($B145="",$C145="",$D145="",$E145="",$H145="",$I145="",$J145="",$L145="",$M145="",$P145="",$U145="",$V145="",$W145=""),"Revisar",IF($AE145&lt;&gt;"","Revisar","Correcto")))</f>
        <v/>
      </c>
    </row>
    <row r="146">
      <c r="A146" s="18" t="n"/>
      <c r="B146" s="19" t="n"/>
      <c r="C146" s="20" t="n"/>
      <c r="D146" s="20" t="n"/>
      <c r="E146" s="18" t="n"/>
      <c r="F146" s="21" t="n"/>
      <c r="G146" s="32" t="n"/>
      <c r="H146" s="32" t="n"/>
      <c r="I146" s="32" t="n"/>
      <c r="J146" s="32" t="n"/>
      <c r="K146" s="32" t="n"/>
      <c r="L146" s="32" t="n"/>
      <c r="M146" s="18" t="n"/>
      <c r="N146" s="23">
        <f>IF($M146="","",IFERROR(VLOOKUP($M146,Recursos!$A$6:$H$105,3,FALSE),"Código no encontrado"))</f>
        <v/>
      </c>
      <c r="O146" s="24">
        <f>IF($M146="","",IFERROR(VLOOKUP($M146,Recursos!$A$6:$H$105,2,FALSE),""))</f>
        <v/>
      </c>
      <c r="P146" s="25" t="n"/>
      <c r="Q146" s="24">
        <f>IF($M146="","",IFERROR(VLOOKUP($M146,Recursos!$A$6:$H$105,5,FALSE),""))</f>
        <v/>
      </c>
      <c r="R146" s="26">
        <f>IF($M146="","",IFERROR(VLOOKUP($M146,Recursos!$A$6:$H$105,4,FALSE),""))</f>
        <v/>
      </c>
      <c r="S146" s="27">
        <f>IF($M146="","",IFERROR(VLOOKUP($M146,Recursos!$A$6:$H$105,6,FALSE),""))</f>
        <v/>
      </c>
      <c r="T146" s="27">
        <f>IF(OR($P146="",$S146=""),"",ROUND($P146*$S146,2))</f>
        <v/>
      </c>
      <c r="U146" s="18" t="n"/>
      <c r="V146" s="18" t="n"/>
      <c r="W146" s="18" t="n"/>
      <c r="X146" s="25" t="n"/>
      <c r="Y146" s="25" t="n"/>
      <c r="Z146" s="32" t="n"/>
      <c r="AA146" s="32" t="n"/>
      <c r="AB146" s="18" t="n"/>
      <c r="AC146" s="20" t="n"/>
      <c r="AD146" s="26">
        <f>IF($P146="","",MAX(0,$P146-N($X146)))</f>
        <v/>
      </c>
      <c r="AE146" s="23">
        <f>IF($A146="","",IF($M146="","Falta recurso",IF(IFERROR(VLOOKUP($M146,Recursos!$A$6:$H$105,7,FALSE),"No")&lt;&gt;"Sí","Recurso no activo",IF(OR($B146="",$H146="",$L146=""),"Faltan fecha u horarios",IF(OR($G146&gt;$H146,$H146&gt;$I146,$I146&gt;$J146,$J146&gt;$K146,$K146&gt;$L146),"Revisar secuencia horaria",IF(SUMPRODUCT(($B$6:$B$205=$B146)*($M$6:$M$205=$M146)*($H$6:$H$205&lt;$L146)*($L$6:$L$205&gt;$H146)*N($P$6:$P$205))&gt;N($R146),"Stock insuficiente",IF(AND($U146&lt;&gt;"",SUMPRODUCT(($B$6:$B$205=$B146)*($U$6:$U$205=$U146)*($A$6:$A$205&lt;&gt;$A146)*($H$6:$H$205&lt;$L146)*($L$6:$L$205&gt;$H146))&gt;0),"Vehículo solapado",IF(AND($Z146&lt;&gt;"",$J146&lt;&gt;"",$Z146&gt;$J146),"Entrega fuera de ventana",IF(AND($W146="Devuelto",N($Y146)&lt;N($X146)),"Devolución incompleta","")))))))))</f>
        <v/>
      </c>
      <c r="AF146" s="24">
        <f>IF($A146="","",IF(OR($B146="",$C146="",$D146="",$E146="",$H146="",$I146="",$J146="",$L146="",$M146="",$P146="",$U146="",$V146="",$W146=""),"Revisar",IF($AE146&lt;&gt;"","Revisar","Correcto")))</f>
        <v/>
      </c>
    </row>
    <row r="147">
      <c r="A147" s="18" t="n"/>
      <c r="B147" s="19" t="n"/>
      <c r="C147" s="20" t="n"/>
      <c r="D147" s="20" t="n"/>
      <c r="E147" s="18" t="n"/>
      <c r="F147" s="21" t="n"/>
      <c r="G147" s="32" t="n"/>
      <c r="H147" s="32" t="n"/>
      <c r="I147" s="32" t="n"/>
      <c r="J147" s="32" t="n"/>
      <c r="K147" s="32" t="n"/>
      <c r="L147" s="32" t="n"/>
      <c r="M147" s="18" t="n"/>
      <c r="N147" s="23">
        <f>IF($M147="","",IFERROR(VLOOKUP($M147,Recursos!$A$6:$H$105,3,FALSE),"Código no encontrado"))</f>
        <v/>
      </c>
      <c r="O147" s="24">
        <f>IF($M147="","",IFERROR(VLOOKUP($M147,Recursos!$A$6:$H$105,2,FALSE),""))</f>
        <v/>
      </c>
      <c r="P147" s="25" t="n"/>
      <c r="Q147" s="24">
        <f>IF($M147="","",IFERROR(VLOOKUP($M147,Recursos!$A$6:$H$105,5,FALSE),""))</f>
        <v/>
      </c>
      <c r="R147" s="26">
        <f>IF($M147="","",IFERROR(VLOOKUP($M147,Recursos!$A$6:$H$105,4,FALSE),""))</f>
        <v/>
      </c>
      <c r="S147" s="27">
        <f>IF($M147="","",IFERROR(VLOOKUP($M147,Recursos!$A$6:$H$105,6,FALSE),""))</f>
        <v/>
      </c>
      <c r="T147" s="27">
        <f>IF(OR($P147="",$S147=""),"",ROUND($P147*$S147,2))</f>
        <v/>
      </c>
      <c r="U147" s="18" t="n"/>
      <c r="V147" s="18" t="n"/>
      <c r="W147" s="18" t="n"/>
      <c r="X147" s="25" t="n"/>
      <c r="Y147" s="25" t="n"/>
      <c r="Z147" s="32" t="n"/>
      <c r="AA147" s="32" t="n"/>
      <c r="AB147" s="18" t="n"/>
      <c r="AC147" s="20" t="n"/>
      <c r="AD147" s="26">
        <f>IF($P147="","",MAX(0,$P147-N($X147)))</f>
        <v/>
      </c>
      <c r="AE147" s="23">
        <f>IF($A147="","",IF($M147="","Falta recurso",IF(IFERROR(VLOOKUP($M147,Recursos!$A$6:$H$105,7,FALSE),"No")&lt;&gt;"Sí","Recurso no activo",IF(OR($B147="",$H147="",$L147=""),"Faltan fecha u horarios",IF(OR($G147&gt;$H147,$H147&gt;$I147,$I147&gt;$J147,$J147&gt;$K147,$K147&gt;$L147),"Revisar secuencia horaria",IF(SUMPRODUCT(($B$6:$B$205=$B147)*($M$6:$M$205=$M147)*($H$6:$H$205&lt;$L147)*($L$6:$L$205&gt;$H147)*N($P$6:$P$205))&gt;N($R147),"Stock insuficiente",IF(AND($U147&lt;&gt;"",SUMPRODUCT(($B$6:$B$205=$B147)*($U$6:$U$205=$U147)*($A$6:$A$205&lt;&gt;$A147)*($H$6:$H$205&lt;$L147)*($L$6:$L$205&gt;$H147))&gt;0),"Vehículo solapado",IF(AND($Z147&lt;&gt;"",$J147&lt;&gt;"",$Z147&gt;$J147),"Entrega fuera de ventana",IF(AND($W147="Devuelto",N($Y147)&lt;N($X147)),"Devolución incompleta","")))))))))</f>
        <v/>
      </c>
      <c r="AF147" s="24">
        <f>IF($A147="","",IF(OR($B147="",$C147="",$D147="",$E147="",$H147="",$I147="",$J147="",$L147="",$M147="",$P147="",$U147="",$V147="",$W147=""),"Revisar",IF($AE147&lt;&gt;"","Revisar","Correcto")))</f>
        <v/>
      </c>
    </row>
    <row r="148">
      <c r="A148" s="18" t="n"/>
      <c r="B148" s="19" t="n"/>
      <c r="C148" s="20" t="n"/>
      <c r="D148" s="20" t="n"/>
      <c r="E148" s="18" t="n"/>
      <c r="F148" s="21" t="n"/>
      <c r="G148" s="32" t="n"/>
      <c r="H148" s="32" t="n"/>
      <c r="I148" s="32" t="n"/>
      <c r="J148" s="32" t="n"/>
      <c r="K148" s="32" t="n"/>
      <c r="L148" s="32" t="n"/>
      <c r="M148" s="18" t="n"/>
      <c r="N148" s="23">
        <f>IF($M148="","",IFERROR(VLOOKUP($M148,Recursos!$A$6:$H$105,3,FALSE),"Código no encontrado"))</f>
        <v/>
      </c>
      <c r="O148" s="24">
        <f>IF($M148="","",IFERROR(VLOOKUP($M148,Recursos!$A$6:$H$105,2,FALSE),""))</f>
        <v/>
      </c>
      <c r="P148" s="25" t="n"/>
      <c r="Q148" s="24">
        <f>IF($M148="","",IFERROR(VLOOKUP($M148,Recursos!$A$6:$H$105,5,FALSE),""))</f>
        <v/>
      </c>
      <c r="R148" s="26">
        <f>IF($M148="","",IFERROR(VLOOKUP($M148,Recursos!$A$6:$H$105,4,FALSE),""))</f>
        <v/>
      </c>
      <c r="S148" s="27">
        <f>IF($M148="","",IFERROR(VLOOKUP($M148,Recursos!$A$6:$H$105,6,FALSE),""))</f>
        <v/>
      </c>
      <c r="T148" s="27">
        <f>IF(OR($P148="",$S148=""),"",ROUND($P148*$S148,2))</f>
        <v/>
      </c>
      <c r="U148" s="18" t="n"/>
      <c r="V148" s="18" t="n"/>
      <c r="W148" s="18" t="n"/>
      <c r="X148" s="25" t="n"/>
      <c r="Y148" s="25" t="n"/>
      <c r="Z148" s="32" t="n"/>
      <c r="AA148" s="32" t="n"/>
      <c r="AB148" s="18" t="n"/>
      <c r="AC148" s="20" t="n"/>
      <c r="AD148" s="26">
        <f>IF($P148="","",MAX(0,$P148-N($X148)))</f>
        <v/>
      </c>
      <c r="AE148" s="23">
        <f>IF($A148="","",IF($M148="","Falta recurso",IF(IFERROR(VLOOKUP($M148,Recursos!$A$6:$H$105,7,FALSE),"No")&lt;&gt;"Sí","Recurso no activo",IF(OR($B148="",$H148="",$L148=""),"Faltan fecha u horarios",IF(OR($G148&gt;$H148,$H148&gt;$I148,$I148&gt;$J148,$J148&gt;$K148,$K148&gt;$L148),"Revisar secuencia horaria",IF(SUMPRODUCT(($B$6:$B$205=$B148)*($M$6:$M$205=$M148)*($H$6:$H$205&lt;$L148)*($L$6:$L$205&gt;$H148)*N($P$6:$P$205))&gt;N($R148),"Stock insuficiente",IF(AND($U148&lt;&gt;"",SUMPRODUCT(($B$6:$B$205=$B148)*($U$6:$U$205=$U148)*($A$6:$A$205&lt;&gt;$A148)*($H$6:$H$205&lt;$L148)*($L$6:$L$205&gt;$H148))&gt;0),"Vehículo solapado",IF(AND($Z148&lt;&gt;"",$J148&lt;&gt;"",$Z148&gt;$J148),"Entrega fuera de ventana",IF(AND($W148="Devuelto",N($Y148)&lt;N($X148)),"Devolución incompleta","")))))))))</f>
        <v/>
      </c>
      <c r="AF148" s="24">
        <f>IF($A148="","",IF(OR($B148="",$C148="",$D148="",$E148="",$H148="",$I148="",$J148="",$L148="",$M148="",$P148="",$U148="",$V148="",$W148=""),"Revisar",IF($AE148&lt;&gt;"","Revisar","Correcto")))</f>
        <v/>
      </c>
    </row>
    <row r="149">
      <c r="A149" s="18" t="n"/>
      <c r="B149" s="19" t="n"/>
      <c r="C149" s="20" t="n"/>
      <c r="D149" s="20" t="n"/>
      <c r="E149" s="18" t="n"/>
      <c r="F149" s="21" t="n"/>
      <c r="G149" s="32" t="n"/>
      <c r="H149" s="32" t="n"/>
      <c r="I149" s="32" t="n"/>
      <c r="J149" s="32" t="n"/>
      <c r="K149" s="32" t="n"/>
      <c r="L149" s="32" t="n"/>
      <c r="M149" s="18" t="n"/>
      <c r="N149" s="23">
        <f>IF($M149="","",IFERROR(VLOOKUP($M149,Recursos!$A$6:$H$105,3,FALSE),"Código no encontrado"))</f>
        <v/>
      </c>
      <c r="O149" s="24">
        <f>IF($M149="","",IFERROR(VLOOKUP($M149,Recursos!$A$6:$H$105,2,FALSE),""))</f>
        <v/>
      </c>
      <c r="P149" s="25" t="n"/>
      <c r="Q149" s="24">
        <f>IF($M149="","",IFERROR(VLOOKUP($M149,Recursos!$A$6:$H$105,5,FALSE),""))</f>
        <v/>
      </c>
      <c r="R149" s="26">
        <f>IF($M149="","",IFERROR(VLOOKUP($M149,Recursos!$A$6:$H$105,4,FALSE),""))</f>
        <v/>
      </c>
      <c r="S149" s="27">
        <f>IF($M149="","",IFERROR(VLOOKUP($M149,Recursos!$A$6:$H$105,6,FALSE),""))</f>
        <v/>
      </c>
      <c r="T149" s="27">
        <f>IF(OR($P149="",$S149=""),"",ROUND($P149*$S149,2))</f>
        <v/>
      </c>
      <c r="U149" s="18" t="n"/>
      <c r="V149" s="18" t="n"/>
      <c r="W149" s="18" t="n"/>
      <c r="X149" s="25" t="n"/>
      <c r="Y149" s="25" t="n"/>
      <c r="Z149" s="32" t="n"/>
      <c r="AA149" s="32" t="n"/>
      <c r="AB149" s="18" t="n"/>
      <c r="AC149" s="20" t="n"/>
      <c r="AD149" s="26">
        <f>IF($P149="","",MAX(0,$P149-N($X149)))</f>
        <v/>
      </c>
      <c r="AE149" s="23">
        <f>IF($A149="","",IF($M149="","Falta recurso",IF(IFERROR(VLOOKUP($M149,Recursos!$A$6:$H$105,7,FALSE),"No")&lt;&gt;"Sí","Recurso no activo",IF(OR($B149="",$H149="",$L149=""),"Faltan fecha u horarios",IF(OR($G149&gt;$H149,$H149&gt;$I149,$I149&gt;$J149,$J149&gt;$K149,$K149&gt;$L149),"Revisar secuencia horaria",IF(SUMPRODUCT(($B$6:$B$205=$B149)*($M$6:$M$205=$M149)*($H$6:$H$205&lt;$L149)*($L$6:$L$205&gt;$H149)*N($P$6:$P$205))&gt;N($R149),"Stock insuficiente",IF(AND($U149&lt;&gt;"",SUMPRODUCT(($B$6:$B$205=$B149)*($U$6:$U$205=$U149)*($A$6:$A$205&lt;&gt;$A149)*($H$6:$H$205&lt;$L149)*($L$6:$L$205&gt;$H149))&gt;0),"Vehículo solapado",IF(AND($Z149&lt;&gt;"",$J149&lt;&gt;"",$Z149&gt;$J149),"Entrega fuera de ventana",IF(AND($W149="Devuelto",N($Y149)&lt;N($X149)),"Devolución incompleta","")))))))))</f>
        <v/>
      </c>
      <c r="AF149" s="24">
        <f>IF($A149="","",IF(OR($B149="",$C149="",$D149="",$E149="",$H149="",$I149="",$J149="",$L149="",$M149="",$P149="",$U149="",$V149="",$W149=""),"Revisar",IF($AE149&lt;&gt;"","Revisar","Correcto")))</f>
        <v/>
      </c>
    </row>
    <row r="150">
      <c r="A150" s="18" t="n"/>
      <c r="B150" s="19" t="n"/>
      <c r="C150" s="20" t="n"/>
      <c r="D150" s="20" t="n"/>
      <c r="E150" s="18" t="n"/>
      <c r="F150" s="21" t="n"/>
      <c r="G150" s="32" t="n"/>
      <c r="H150" s="32" t="n"/>
      <c r="I150" s="32" t="n"/>
      <c r="J150" s="32" t="n"/>
      <c r="K150" s="32" t="n"/>
      <c r="L150" s="32" t="n"/>
      <c r="M150" s="18" t="n"/>
      <c r="N150" s="23">
        <f>IF($M150="","",IFERROR(VLOOKUP($M150,Recursos!$A$6:$H$105,3,FALSE),"Código no encontrado"))</f>
        <v/>
      </c>
      <c r="O150" s="24">
        <f>IF($M150="","",IFERROR(VLOOKUP($M150,Recursos!$A$6:$H$105,2,FALSE),""))</f>
        <v/>
      </c>
      <c r="P150" s="25" t="n"/>
      <c r="Q150" s="24">
        <f>IF($M150="","",IFERROR(VLOOKUP($M150,Recursos!$A$6:$H$105,5,FALSE),""))</f>
        <v/>
      </c>
      <c r="R150" s="26">
        <f>IF($M150="","",IFERROR(VLOOKUP($M150,Recursos!$A$6:$H$105,4,FALSE),""))</f>
        <v/>
      </c>
      <c r="S150" s="27">
        <f>IF($M150="","",IFERROR(VLOOKUP($M150,Recursos!$A$6:$H$105,6,FALSE),""))</f>
        <v/>
      </c>
      <c r="T150" s="27">
        <f>IF(OR($P150="",$S150=""),"",ROUND($P150*$S150,2))</f>
        <v/>
      </c>
      <c r="U150" s="18" t="n"/>
      <c r="V150" s="18" t="n"/>
      <c r="W150" s="18" t="n"/>
      <c r="X150" s="25" t="n"/>
      <c r="Y150" s="25" t="n"/>
      <c r="Z150" s="32" t="n"/>
      <c r="AA150" s="32" t="n"/>
      <c r="AB150" s="18" t="n"/>
      <c r="AC150" s="20" t="n"/>
      <c r="AD150" s="26">
        <f>IF($P150="","",MAX(0,$P150-N($X150)))</f>
        <v/>
      </c>
      <c r="AE150" s="23">
        <f>IF($A150="","",IF($M150="","Falta recurso",IF(IFERROR(VLOOKUP($M150,Recursos!$A$6:$H$105,7,FALSE),"No")&lt;&gt;"Sí","Recurso no activo",IF(OR($B150="",$H150="",$L150=""),"Faltan fecha u horarios",IF(OR($G150&gt;$H150,$H150&gt;$I150,$I150&gt;$J150,$J150&gt;$K150,$K150&gt;$L150),"Revisar secuencia horaria",IF(SUMPRODUCT(($B$6:$B$205=$B150)*($M$6:$M$205=$M150)*($H$6:$H$205&lt;$L150)*($L$6:$L$205&gt;$H150)*N($P$6:$P$205))&gt;N($R150),"Stock insuficiente",IF(AND($U150&lt;&gt;"",SUMPRODUCT(($B$6:$B$205=$B150)*($U$6:$U$205=$U150)*($A$6:$A$205&lt;&gt;$A150)*($H$6:$H$205&lt;$L150)*($L$6:$L$205&gt;$H150))&gt;0),"Vehículo solapado",IF(AND($Z150&lt;&gt;"",$J150&lt;&gt;"",$Z150&gt;$J150),"Entrega fuera de ventana",IF(AND($W150="Devuelto",N($Y150)&lt;N($X150)),"Devolución incompleta","")))))))))</f>
        <v/>
      </c>
      <c r="AF150" s="24">
        <f>IF($A150="","",IF(OR($B150="",$C150="",$D150="",$E150="",$H150="",$I150="",$J150="",$L150="",$M150="",$P150="",$U150="",$V150="",$W150=""),"Revisar",IF($AE150&lt;&gt;"","Revisar","Correcto")))</f>
        <v/>
      </c>
    </row>
    <row r="151">
      <c r="A151" s="18" t="n"/>
      <c r="B151" s="19" t="n"/>
      <c r="C151" s="20" t="n"/>
      <c r="D151" s="20" t="n"/>
      <c r="E151" s="18" t="n"/>
      <c r="F151" s="21" t="n"/>
      <c r="G151" s="32" t="n"/>
      <c r="H151" s="32" t="n"/>
      <c r="I151" s="32" t="n"/>
      <c r="J151" s="32" t="n"/>
      <c r="K151" s="32" t="n"/>
      <c r="L151" s="32" t="n"/>
      <c r="M151" s="18" t="n"/>
      <c r="N151" s="23">
        <f>IF($M151="","",IFERROR(VLOOKUP($M151,Recursos!$A$6:$H$105,3,FALSE),"Código no encontrado"))</f>
        <v/>
      </c>
      <c r="O151" s="24">
        <f>IF($M151="","",IFERROR(VLOOKUP($M151,Recursos!$A$6:$H$105,2,FALSE),""))</f>
        <v/>
      </c>
      <c r="P151" s="25" t="n"/>
      <c r="Q151" s="24">
        <f>IF($M151="","",IFERROR(VLOOKUP($M151,Recursos!$A$6:$H$105,5,FALSE),""))</f>
        <v/>
      </c>
      <c r="R151" s="26">
        <f>IF($M151="","",IFERROR(VLOOKUP($M151,Recursos!$A$6:$H$105,4,FALSE),""))</f>
        <v/>
      </c>
      <c r="S151" s="27">
        <f>IF($M151="","",IFERROR(VLOOKUP($M151,Recursos!$A$6:$H$105,6,FALSE),""))</f>
        <v/>
      </c>
      <c r="T151" s="27">
        <f>IF(OR($P151="",$S151=""),"",ROUND($P151*$S151,2))</f>
        <v/>
      </c>
      <c r="U151" s="18" t="n"/>
      <c r="V151" s="18" t="n"/>
      <c r="W151" s="18" t="n"/>
      <c r="X151" s="25" t="n"/>
      <c r="Y151" s="25" t="n"/>
      <c r="Z151" s="32" t="n"/>
      <c r="AA151" s="32" t="n"/>
      <c r="AB151" s="18" t="n"/>
      <c r="AC151" s="20" t="n"/>
      <c r="AD151" s="26">
        <f>IF($P151="","",MAX(0,$P151-N($X151)))</f>
        <v/>
      </c>
      <c r="AE151" s="23">
        <f>IF($A151="","",IF($M151="","Falta recurso",IF(IFERROR(VLOOKUP($M151,Recursos!$A$6:$H$105,7,FALSE),"No")&lt;&gt;"Sí","Recurso no activo",IF(OR($B151="",$H151="",$L151=""),"Faltan fecha u horarios",IF(OR($G151&gt;$H151,$H151&gt;$I151,$I151&gt;$J151,$J151&gt;$K151,$K151&gt;$L151),"Revisar secuencia horaria",IF(SUMPRODUCT(($B$6:$B$205=$B151)*($M$6:$M$205=$M151)*($H$6:$H$205&lt;$L151)*($L$6:$L$205&gt;$H151)*N($P$6:$P$205))&gt;N($R151),"Stock insuficiente",IF(AND($U151&lt;&gt;"",SUMPRODUCT(($B$6:$B$205=$B151)*($U$6:$U$205=$U151)*($A$6:$A$205&lt;&gt;$A151)*($H$6:$H$205&lt;$L151)*($L$6:$L$205&gt;$H151))&gt;0),"Vehículo solapado",IF(AND($Z151&lt;&gt;"",$J151&lt;&gt;"",$Z151&gt;$J151),"Entrega fuera de ventana",IF(AND($W151="Devuelto",N($Y151)&lt;N($X151)),"Devolución incompleta","")))))))))</f>
        <v/>
      </c>
      <c r="AF151" s="24">
        <f>IF($A151="","",IF(OR($B151="",$C151="",$D151="",$E151="",$H151="",$I151="",$J151="",$L151="",$M151="",$P151="",$U151="",$V151="",$W151=""),"Revisar",IF($AE151&lt;&gt;"","Revisar","Correcto")))</f>
        <v/>
      </c>
    </row>
    <row r="152">
      <c r="A152" s="18" t="n"/>
      <c r="B152" s="19" t="n"/>
      <c r="C152" s="20" t="n"/>
      <c r="D152" s="20" t="n"/>
      <c r="E152" s="18" t="n"/>
      <c r="F152" s="21" t="n"/>
      <c r="G152" s="32" t="n"/>
      <c r="H152" s="32" t="n"/>
      <c r="I152" s="32" t="n"/>
      <c r="J152" s="32" t="n"/>
      <c r="K152" s="32" t="n"/>
      <c r="L152" s="32" t="n"/>
      <c r="M152" s="18" t="n"/>
      <c r="N152" s="23">
        <f>IF($M152="","",IFERROR(VLOOKUP($M152,Recursos!$A$6:$H$105,3,FALSE),"Código no encontrado"))</f>
        <v/>
      </c>
      <c r="O152" s="24">
        <f>IF($M152="","",IFERROR(VLOOKUP($M152,Recursos!$A$6:$H$105,2,FALSE),""))</f>
        <v/>
      </c>
      <c r="P152" s="25" t="n"/>
      <c r="Q152" s="24">
        <f>IF($M152="","",IFERROR(VLOOKUP($M152,Recursos!$A$6:$H$105,5,FALSE),""))</f>
        <v/>
      </c>
      <c r="R152" s="26">
        <f>IF($M152="","",IFERROR(VLOOKUP($M152,Recursos!$A$6:$H$105,4,FALSE),""))</f>
        <v/>
      </c>
      <c r="S152" s="27">
        <f>IF($M152="","",IFERROR(VLOOKUP($M152,Recursos!$A$6:$H$105,6,FALSE),""))</f>
        <v/>
      </c>
      <c r="T152" s="27">
        <f>IF(OR($P152="",$S152=""),"",ROUND($P152*$S152,2))</f>
        <v/>
      </c>
      <c r="U152" s="18" t="n"/>
      <c r="V152" s="18" t="n"/>
      <c r="W152" s="18" t="n"/>
      <c r="X152" s="25" t="n"/>
      <c r="Y152" s="25" t="n"/>
      <c r="Z152" s="32" t="n"/>
      <c r="AA152" s="32" t="n"/>
      <c r="AB152" s="18" t="n"/>
      <c r="AC152" s="20" t="n"/>
      <c r="AD152" s="26">
        <f>IF($P152="","",MAX(0,$P152-N($X152)))</f>
        <v/>
      </c>
      <c r="AE152" s="23">
        <f>IF($A152="","",IF($M152="","Falta recurso",IF(IFERROR(VLOOKUP($M152,Recursos!$A$6:$H$105,7,FALSE),"No")&lt;&gt;"Sí","Recurso no activo",IF(OR($B152="",$H152="",$L152=""),"Faltan fecha u horarios",IF(OR($G152&gt;$H152,$H152&gt;$I152,$I152&gt;$J152,$J152&gt;$K152,$K152&gt;$L152),"Revisar secuencia horaria",IF(SUMPRODUCT(($B$6:$B$205=$B152)*($M$6:$M$205=$M152)*($H$6:$H$205&lt;$L152)*($L$6:$L$205&gt;$H152)*N($P$6:$P$205))&gt;N($R152),"Stock insuficiente",IF(AND($U152&lt;&gt;"",SUMPRODUCT(($B$6:$B$205=$B152)*($U$6:$U$205=$U152)*($A$6:$A$205&lt;&gt;$A152)*($H$6:$H$205&lt;$L152)*($L$6:$L$205&gt;$H152))&gt;0),"Vehículo solapado",IF(AND($Z152&lt;&gt;"",$J152&lt;&gt;"",$Z152&gt;$J152),"Entrega fuera de ventana",IF(AND($W152="Devuelto",N($Y152)&lt;N($X152)),"Devolución incompleta","")))))))))</f>
        <v/>
      </c>
      <c r="AF152" s="24">
        <f>IF($A152="","",IF(OR($B152="",$C152="",$D152="",$E152="",$H152="",$I152="",$J152="",$L152="",$M152="",$P152="",$U152="",$V152="",$W152=""),"Revisar",IF($AE152&lt;&gt;"","Revisar","Correcto")))</f>
        <v/>
      </c>
    </row>
    <row r="153">
      <c r="A153" s="18" t="n"/>
      <c r="B153" s="19" t="n"/>
      <c r="C153" s="20" t="n"/>
      <c r="D153" s="20" t="n"/>
      <c r="E153" s="18" t="n"/>
      <c r="F153" s="21" t="n"/>
      <c r="G153" s="32" t="n"/>
      <c r="H153" s="32" t="n"/>
      <c r="I153" s="32" t="n"/>
      <c r="J153" s="32" t="n"/>
      <c r="K153" s="32" t="n"/>
      <c r="L153" s="32" t="n"/>
      <c r="M153" s="18" t="n"/>
      <c r="N153" s="23">
        <f>IF($M153="","",IFERROR(VLOOKUP($M153,Recursos!$A$6:$H$105,3,FALSE),"Código no encontrado"))</f>
        <v/>
      </c>
      <c r="O153" s="24">
        <f>IF($M153="","",IFERROR(VLOOKUP($M153,Recursos!$A$6:$H$105,2,FALSE),""))</f>
        <v/>
      </c>
      <c r="P153" s="25" t="n"/>
      <c r="Q153" s="24">
        <f>IF($M153="","",IFERROR(VLOOKUP($M153,Recursos!$A$6:$H$105,5,FALSE),""))</f>
        <v/>
      </c>
      <c r="R153" s="26">
        <f>IF($M153="","",IFERROR(VLOOKUP($M153,Recursos!$A$6:$H$105,4,FALSE),""))</f>
        <v/>
      </c>
      <c r="S153" s="27">
        <f>IF($M153="","",IFERROR(VLOOKUP($M153,Recursos!$A$6:$H$105,6,FALSE),""))</f>
        <v/>
      </c>
      <c r="T153" s="27">
        <f>IF(OR($P153="",$S153=""),"",ROUND($P153*$S153,2))</f>
        <v/>
      </c>
      <c r="U153" s="18" t="n"/>
      <c r="V153" s="18" t="n"/>
      <c r="W153" s="18" t="n"/>
      <c r="X153" s="25" t="n"/>
      <c r="Y153" s="25" t="n"/>
      <c r="Z153" s="32" t="n"/>
      <c r="AA153" s="32" t="n"/>
      <c r="AB153" s="18" t="n"/>
      <c r="AC153" s="20" t="n"/>
      <c r="AD153" s="26">
        <f>IF($P153="","",MAX(0,$P153-N($X153)))</f>
        <v/>
      </c>
      <c r="AE153" s="23">
        <f>IF($A153="","",IF($M153="","Falta recurso",IF(IFERROR(VLOOKUP($M153,Recursos!$A$6:$H$105,7,FALSE),"No")&lt;&gt;"Sí","Recurso no activo",IF(OR($B153="",$H153="",$L153=""),"Faltan fecha u horarios",IF(OR($G153&gt;$H153,$H153&gt;$I153,$I153&gt;$J153,$J153&gt;$K153,$K153&gt;$L153),"Revisar secuencia horaria",IF(SUMPRODUCT(($B$6:$B$205=$B153)*($M$6:$M$205=$M153)*($H$6:$H$205&lt;$L153)*($L$6:$L$205&gt;$H153)*N($P$6:$P$205))&gt;N($R153),"Stock insuficiente",IF(AND($U153&lt;&gt;"",SUMPRODUCT(($B$6:$B$205=$B153)*($U$6:$U$205=$U153)*($A$6:$A$205&lt;&gt;$A153)*($H$6:$H$205&lt;$L153)*($L$6:$L$205&gt;$H153))&gt;0),"Vehículo solapado",IF(AND($Z153&lt;&gt;"",$J153&lt;&gt;"",$Z153&gt;$J153),"Entrega fuera de ventana",IF(AND($W153="Devuelto",N($Y153)&lt;N($X153)),"Devolución incompleta","")))))))))</f>
        <v/>
      </c>
      <c r="AF153" s="24">
        <f>IF($A153="","",IF(OR($B153="",$C153="",$D153="",$E153="",$H153="",$I153="",$J153="",$L153="",$M153="",$P153="",$U153="",$V153="",$W153=""),"Revisar",IF($AE153&lt;&gt;"","Revisar","Correcto")))</f>
        <v/>
      </c>
    </row>
    <row r="154">
      <c r="A154" s="18" t="n"/>
      <c r="B154" s="19" t="n"/>
      <c r="C154" s="20" t="n"/>
      <c r="D154" s="20" t="n"/>
      <c r="E154" s="18" t="n"/>
      <c r="F154" s="21" t="n"/>
      <c r="G154" s="32" t="n"/>
      <c r="H154" s="32" t="n"/>
      <c r="I154" s="32" t="n"/>
      <c r="J154" s="32" t="n"/>
      <c r="K154" s="32" t="n"/>
      <c r="L154" s="32" t="n"/>
      <c r="M154" s="18" t="n"/>
      <c r="N154" s="23">
        <f>IF($M154="","",IFERROR(VLOOKUP($M154,Recursos!$A$6:$H$105,3,FALSE),"Código no encontrado"))</f>
        <v/>
      </c>
      <c r="O154" s="24">
        <f>IF($M154="","",IFERROR(VLOOKUP($M154,Recursos!$A$6:$H$105,2,FALSE),""))</f>
        <v/>
      </c>
      <c r="P154" s="25" t="n"/>
      <c r="Q154" s="24">
        <f>IF($M154="","",IFERROR(VLOOKUP($M154,Recursos!$A$6:$H$105,5,FALSE),""))</f>
        <v/>
      </c>
      <c r="R154" s="26">
        <f>IF($M154="","",IFERROR(VLOOKUP($M154,Recursos!$A$6:$H$105,4,FALSE),""))</f>
        <v/>
      </c>
      <c r="S154" s="27">
        <f>IF($M154="","",IFERROR(VLOOKUP($M154,Recursos!$A$6:$H$105,6,FALSE),""))</f>
        <v/>
      </c>
      <c r="T154" s="27">
        <f>IF(OR($P154="",$S154=""),"",ROUND($P154*$S154,2))</f>
        <v/>
      </c>
      <c r="U154" s="18" t="n"/>
      <c r="V154" s="18" t="n"/>
      <c r="W154" s="18" t="n"/>
      <c r="X154" s="25" t="n"/>
      <c r="Y154" s="25" t="n"/>
      <c r="Z154" s="32" t="n"/>
      <c r="AA154" s="32" t="n"/>
      <c r="AB154" s="18" t="n"/>
      <c r="AC154" s="20" t="n"/>
      <c r="AD154" s="26">
        <f>IF($P154="","",MAX(0,$P154-N($X154)))</f>
        <v/>
      </c>
      <c r="AE154" s="23">
        <f>IF($A154="","",IF($M154="","Falta recurso",IF(IFERROR(VLOOKUP($M154,Recursos!$A$6:$H$105,7,FALSE),"No")&lt;&gt;"Sí","Recurso no activo",IF(OR($B154="",$H154="",$L154=""),"Faltan fecha u horarios",IF(OR($G154&gt;$H154,$H154&gt;$I154,$I154&gt;$J154,$J154&gt;$K154,$K154&gt;$L154),"Revisar secuencia horaria",IF(SUMPRODUCT(($B$6:$B$205=$B154)*($M$6:$M$205=$M154)*($H$6:$H$205&lt;$L154)*($L$6:$L$205&gt;$H154)*N($P$6:$P$205))&gt;N($R154),"Stock insuficiente",IF(AND($U154&lt;&gt;"",SUMPRODUCT(($B$6:$B$205=$B154)*($U$6:$U$205=$U154)*($A$6:$A$205&lt;&gt;$A154)*($H$6:$H$205&lt;$L154)*($L$6:$L$205&gt;$H154))&gt;0),"Vehículo solapado",IF(AND($Z154&lt;&gt;"",$J154&lt;&gt;"",$Z154&gt;$J154),"Entrega fuera de ventana",IF(AND($W154="Devuelto",N($Y154)&lt;N($X154)),"Devolución incompleta","")))))))))</f>
        <v/>
      </c>
      <c r="AF154" s="24">
        <f>IF($A154="","",IF(OR($B154="",$C154="",$D154="",$E154="",$H154="",$I154="",$J154="",$L154="",$M154="",$P154="",$U154="",$V154="",$W154=""),"Revisar",IF($AE154&lt;&gt;"","Revisar","Correcto")))</f>
        <v/>
      </c>
    </row>
    <row r="155">
      <c r="A155" s="18" t="n"/>
      <c r="B155" s="19" t="n"/>
      <c r="C155" s="20" t="n"/>
      <c r="D155" s="20" t="n"/>
      <c r="E155" s="18" t="n"/>
      <c r="F155" s="21" t="n"/>
      <c r="G155" s="32" t="n"/>
      <c r="H155" s="32" t="n"/>
      <c r="I155" s="32" t="n"/>
      <c r="J155" s="32" t="n"/>
      <c r="K155" s="32" t="n"/>
      <c r="L155" s="32" t="n"/>
      <c r="M155" s="18" t="n"/>
      <c r="N155" s="23">
        <f>IF($M155="","",IFERROR(VLOOKUP($M155,Recursos!$A$6:$H$105,3,FALSE),"Código no encontrado"))</f>
        <v/>
      </c>
      <c r="O155" s="24">
        <f>IF($M155="","",IFERROR(VLOOKUP($M155,Recursos!$A$6:$H$105,2,FALSE),""))</f>
        <v/>
      </c>
      <c r="P155" s="25" t="n"/>
      <c r="Q155" s="24">
        <f>IF($M155="","",IFERROR(VLOOKUP($M155,Recursos!$A$6:$H$105,5,FALSE),""))</f>
        <v/>
      </c>
      <c r="R155" s="26">
        <f>IF($M155="","",IFERROR(VLOOKUP($M155,Recursos!$A$6:$H$105,4,FALSE),""))</f>
        <v/>
      </c>
      <c r="S155" s="27">
        <f>IF($M155="","",IFERROR(VLOOKUP($M155,Recursos!$A$6:$H$105,6,FALSE),""))</f>
        <v/>
      </c>
      <c r="T155" s="27">
        <f>IF(OR($P155="",$S155=""),"",ROUND($P155*$S155,2))</f>
        <v/>
      </c>
      <c r="U155" s="18" t="n"/>
      <c r="V155" s="18" t="n"/>
      <c r="W155" s="18" t="n"/>
      <c r="X155" s="25" t="n"/>
      <c r="Y155" s="25" t="n"/>
      <c r="Z155" s="32" t="n"/>
      <c r="AA155" s="32" t="n"/>
      <c r="AB155" s="18" t="n"/>
      <c r="AC155" s="20" t="n"/>
      <c r="AD155" s="26">
        <f>IF($P155="","",MAX(0,$P155-N($X155)))</f>
        <v/>
      </c>
      <c r="AE155" s="23">
        <f>IF($A155="","",IF($M155="","Falta recurso",IF(IFERROR(VLOOKUP($M155,Recursos!$A$6:$H$105,7,FALSE),"No")&lt;&gt;"Sí","Recurso no activo",IF(OR($B155="",$H155="",$L155=""),"Faltan fecha u horarios",IF(OR($G155&gt;$H155,$H155&gt;$I155,$I155&gt;$J155,$J155&gt;$K155,$K155&gt;$L155),"Revisar secuencia horaria",IF(SUMPRODUCT(($B$6:$B$205=$B155)*($M$6:$M$205=$M155)*($H$6:$H$205&lt;$L155)*($L$6:$L$205&gt;$H155)*N($P$6:$P$205))&gt;N($R155),"Stock insuficiente",IF(AND($U155&lt;&gt;"",SUMPRODUCT(($B$6:$B$205=$B155)*($U$6:$U$205=$U155)*($A$6:$A$205&lt;&gt;$A155)*($H$6:$H$205&lt;$L155)*($L$6:$L$205&gt;$H155))&gt;0),"Vehículo solapado",IF(AND($Z155&lt;&gt;"",$J155&lt;&gt;"",$Z155&gt;$J155),"Entrega fuera de ventana",IF(AND($W155="Devuelto",N($Y155)&lt;N($X155)),"Devolución incompleta","")))))))))</f>
        <v/>
      </c>
      <c r="AF155" s="24">
        <f>IF($A155="","",IF(OR($B155="",$C155="",$D155="",$E155="",$H155="",$I155="",$J155="",$L155="",$M155="",$P155="",$U155="",$V155="",$W155=""),"Revisar",IF($AE155&lt;&gt;"","Revisar","Correcto")))</f>
        <v/>
      </c>
    </row>
    <row r="156">
      <c r="A156" s="18" t="n"/>
      <c r="B156" s="19" t="n"/>
      <c r="C156" s="20" t="n"/>
      <c r="D156" s="20" t="n"/>
      <c r="E156" s="18" t="n"/>
      <c r="F156" s="21" t="n"/>
      <c r="G156" s="32" t="n"/>
      <c r="H156" s="32" t="n"/>
      <c r="I156" s="32" t="n"/>
      <c r="J156" s="32" t="n"/>
      <c r="K156" s="32" t="n"/>
      <c r="L156" s="32" t="n"/>
      <c r="M156" s="18" t="n"/>
      <c r="N156" s="23">
        <f>IF($M156="","",IFERROR(VLOOKUP($M156,Recursos!$A$6:$H$105,3,FALSE),"Código no encontrado"))</f>
        <v/>
      </c>
      <c r="O156" s="24">
        <f>IF($M156="","",IFERROR(VLOOKUP($M156,Recursos!$A$6:$H$105,2,FALSE),""))</f>
        <v/>
      </c>
      <c r="P156" s="25" t="n"/>
      <c r="Q156" s="24">
        <f>IF($M156="","",IFERROR(VLOOKUP($M156,Recursos!$A$6:$H$105,5,FALSE),""))</f>
        <v/>
      </c>
      <c r="R156" s="26">
        <f>IF($M156="","",IFERROR(VLOOKUP($M156,Recursos!$A$6:$H$105,4,FALSE),""))</f>
        <v/>
      </c>
      <c r="S156" s="27">
        <f>IF($M156="","",IFERROR(VLOOKUP($M156,Recursos!$A$6:$H$105,6,FALSE),""))</f>
        <v/>
      </c>
      <c r="T156" s="27">
        <f>IF(OR($P156="",$S156=""),"",ROUND($P156*$S156,2))</f>
        <v/>
      </c>
      <c r="U156" s="18" t="n"/>
      <c r="V156" s="18" t="n"/>
      <c r="W156" s="18" t="n"/>
      <c r="X156" s="25" t="n"/>
      <c r="Y156" s="25" t="n"/>
      <c r="Z156" s="32" t="n"/>
      <c r="AA156" s="32" t="n"/>
      <c r="AB156" s="18" t="n"/>
      <c r="AC156" s="20" t="n"/>
      <c r="AD156" s="26">
        <f>IF($P156="","",MAX(0,$P156-N($X156)))</f>
        <v/>
      </c>
      <c r="AE156" s="23">
        <f>IF($A156="","",IF($M156="","Falta recurso",IF(IFERROR(VLOOKUP($M156,Recursos!$A$6:$H$105,7,FALSE),"No")&lt;&gt;"Sí","Recurso no activo",IF(OR($B156="",$H156="",$L156=""),"Faltan fecha u horarios",IF(OR($G156&gt;$H156,$H156&gt;$I156,$I156&gt;$J156,$J156&gt;$K156,$K156&gt;$L156),"Revisar secuencia horaria",IF(SUMPRODUCT(($B$6:$B$205=$B156)*($M$6:$M$205=$M156)*($H$6:$H$205&lt;$L156)*($L$6:$L$205&gt;$H156)*N($P$6:$P$205))&gt;N($R156),"Stock insuficiente",IF(AND($U156&lt;&gt;"",SUMPRODUCT(($B$6:$B$205=$B156)*($U$6:$U$205=$U156)*($A$6:$A$205&lt;&gt;$A156)*($H$6:$H$205&lt;$L156)*($L$6:$L$205&gt;$H156))&gt;0),"Vehículo solapado",IF(AND($Z156&lt;&gt;"",$J156&lt;&gt;"",$Z156&gt;$J156),"Entrega fuera de ventana",IF(AND($W156="Devuelto",N($Y156)&lt;N($X156)),"Devolución incompleta","")))))))))</f>
        <v/>
      </c>
      <c r="AF156" s="24">
        <f>IF($A156="","",IF(OR($B156="",$C156="",$D156="",$E156="",$H156="",$I156="",$J156="",$L156="",$M156="",$P156="",$U156="",$V156="",$W156=""),"Revisar",IF($AE156&lt;&gt;"","Revisar","Correcto")))</f>
        <v/>
      </c>
    </row>
    <row r="157">
      <c r="A157" s="18" t="n"/>
      <c r="B157" s="19" t="n"/>
      <c r="C157" s="20" t="n"/>
      <c r="D157" s="20" t="n"/>
      <c r="E157" s="18" t="n"/>
      <c r="F157" s="21" t="n"/>
      <c r="G157" s="32" t="n"/>
      <c r="H157" s="32" t="n"/>
      <c r="I157" s="32" t="n"/>
      <c r="J157" s="32" t="n"/>
      <c r="K157" s="32" t="n"/>
      <c r="L157" s="32" t="n"/>
      <c r="M157" s="18" t="n"/>
      <c r="N157" s="23">
        <f>IF($M157="","",IFERROR(VLOOKUP($M157,Recursos!$A$6:$H$105,3,FALSE),"Código no encontrado"))</f>
        <v/>
      </c>
      <c r="O157" s="24">
        <f>IF($M157="","",IFERROR(VLOOKUP($M157,Recursos!$A$6:$H$105,2,FALSE),""))</f>
        <v/>
      </c>
      <c r="P157" s="25" t="n"/>
      <c r="Q157" s="24">
        <f>IF($M157="","",IFERROR(VLOOKUP($M157,Recursos!$A$6:$H$105,5,FALSE),""))</f>
        <v/>
      </c>
      <c r="R157" s="26">
        <f>IF($M157="","",IFERROR(VLOOKUP($M157,Recursos!$A$6:$H$105,4,FALSE),""))</f>
        <v/>
      </c>
      <c r="S157" s="27">
        <f>IF($M157="","",IFERROR(VLOOKUP($M157,Recursos!$A$6:$H$105,6,FALSE),""))</f>
        <v/>
      </c>
      <c r="T157" s="27">
        <f>IF(OR($P157="",$S157=""),"",ROUND($P157*$S157,2))</f>
        <v/>
      </c>
      <c r="U157" s="18" t="n"/>
      <c r="V157" s="18" t="n"/>
      <c r="W157" s="18" t="n"/>
      <c r="X157" s="25" t="n"/>
      <c r="Y157" s="25" t="n"/>
      <c r="Z157" s="32" t="n"/>
      <c r="AA157" s="32" t="n"/>
      <c r="AB157" s="18" t="n"/>
      <c r="AC157" s="20" t="n"/>
      <c r="AD157" s="26">
        <f>IF($P157="","",MAX(0,$P157-N($X157)))</f>
        <v/>
      </c>
      <c r="AE157" s="23">
        <f>IF($A157="","",IF($M157="","Falta recurso",IF(IFERROR(VLOOKUP($M157,Recursos!$A$6:$H$105,7,FALSE),"No")&lt;&gt;"Sí","Recurso no activo",IF(OR($B157="",$H157="",$L157=""),"Faltan fecha u horarios",IF(OR($G157&gt;$H157,$H157&gt;$I157,$I157&gt;$J157,$J157&gt;$K157,$K157&gt;$L157),"Revisar secuencia horaria",IF(SUMPRODUCT(($B$6:$B$205=$B157)*($M$6:$M$205=$M157)*($H$6:$H$205&lt;$L157)*($L$6:$L$205&gt;$H157)*N($P$6:$P$205))&gt;N($R157),"Stock insuficiente",IF(AND($U157&lt;&gt;"",SUMPRODUCT(($B$6:$B$205=$B157)*($U$6:$U$205=$U157)*($A$6:$A$205&lt;&gt;$A157)*($H$6:$H$205&lt;$L157)*($L$6:$L$205&gt;$H157))&gt;0),"Vehículo solapado",IF(AND($Z157&lt;&gt;"",$J157&lt;&gt;"",$Z157&gt;$J157),"Entrega fuera de ventana",IF(AND($W157="Devuelto",N($Y157)&lt;N($X157)),"Devolución incompleta","")))))))))</f>
        <v/>
      </c>
      <c r="AF157" s="24">
        <f>IF($A157="","",IF(OR($B157="",$C157="",$D157="",$E157="",$H157="",$I157="",$J157="",$L157="",$M157="",$P157="",$U157="",$V157="",$W157=""),"Revisar",IF($AE157&lt;&gt;"","Revisar","Correcto")))</f>
        <v/>
      </c>
    </row>
    <row r="158">
      <c r="A158" s="18" t="n"/>
      <c r="B158" s="19" t="n"/>
      <c r="C158" s="20" t="n"/>
      <c r="D158" s="20" t="n"/>
      <c r="E158" s="18" t="n"/>
      <c r="F158" s="21" t="n"/>
      <c r="G158" s="32" t="n"/>
      <c r="H158" s="32" t="n"/>
      <c r="I158" s="32" t="n"/>
      <c r="J158" s="32" t="n"/>
      <c r="K158" s="32" t="n"/>
      <c r="L158" s="32" t="n"/>
      <c r="M158" s="18" t="n"/>
      <c r="N158" s="23">
        <f>IF($M158="","",IFERROR(VLOOKUP($M158,Recursos!$A$6:$H$105,3,FALSE),"Código no encontrado"))</f>
        <v/>
      </c>
      <c r="O158" s="24">
        <f>IF($M158="","",IFERROR(VLOOKUP($M158,Recursos!$A$6:$H$105,2,FALSE),""))</f>
        <v/>
      </c>
      <c r="P158" s="25" t="n"/>
      <c r="Q158" s="24">
        <f>IF($M158="","",IFERROR(VLOOKUP($M158,Recursos!$A$6:$H$105,5,FALSE),""))</f>
        <v/>
      </c>
      <c r="R158" s="26">
        <f>IF($M158="","",IFERROR(VLOOKUP($M158,Recursos!$A$6:$H$105,4,FALSE),""))</f>
        <v/>
      </c>
      <c r="S158" s="27">
        <f>IF($M158="","",IFERROR(VLOOKUP($M158,Recursos!$A$6:$H$105,6,FALSE),""))</f>
        <v/>
      </c>
      <c r="T158" s="27">
        <f>IF(OR($P158="",$S158=""),"",ROUND($P158*$S158,2))</f>
        <v/>
      </c>
      <c r="U158" s="18" t="n"/>
      <c r="V158" s="18" t="n"/>
      <c r="W158" s="18" t="n"/>
      <c r="X158" s="25" t="n"/>
      <c r="Y158" s="25" t="n"/>
      <c r="Z158" s="32" t="n"/>
      <c r="AA158" s="32" t="n"/>
      <c r="AB158" s="18" t="n"/>
      <c r="AC158" s="20" t="n"/>
      <c r="AD158" s="26">
        <f>IF($P158="","",MAX(0,$P158-N($X158)))</f>
        <v/>
      </c>
      <c r="AE158" s="23">
        <f>IF($A158="","",IF($M158="","Falta recurso",IF(IFERROR(VLOOKUP($M158,Recursos!$A$6:$H$105,7,FALSE),"No")&lt;&gt;"Sí","Recurso no activo",IF(OR($B158="",$H158="",$L158=""),"Faltan fecha u horarios",IF(OR($G158&gt;$H158,$H158&gt;$I158,$I158&gt;$J158,$J158&gt;$K158,$K158&gt;$L158),"Revisar secuencia horaria",IF(SUMPRODUCT(($B$6:$B$205=$B158)*($M$6:$M$205=$M158)*($H$6:$H$205&lt;$L158)*($L$6:$L$205&gt;$H158)*N($P$6:$P$205))&gt;N($R158),"Stock insuficiente",IF(AND($U158&lt;&gt;"",SUMPRODUCT(($B$6:$B$205=$B158)*($U$6:$U$205=$U158)*($A$6:$A$205&lt;&gt;$A158)*($H$6:$H$205&lt;$L158)*($L$6:$L$205&gt;$H158))&gt;0),"Vehículo solapado",IF(AND($Z158&lt;&gt;"",$J158&lt;&gt;"",$Z158&gt;$J158),"Entrega fuera de ventana",IF(AND($W158="Devuelto",N($Y158)&lt;N($X158)),"Devolución incompleta","")))))))))</f>
        <v/>
      </c>
      <c r="AF158" s="24">
        <f>IF($A158="","",IF(OR($B158="",$C158="",$D158="",$E158="",$H158="",$I158="",$J158="",$L158="",$M158="",$P158="",$U158="",$V158="",$W158=""),"Revisar",IF($AE158&lt;&gt;"","Revisar","Correcto")))</f>
        <v/>
      </c>
    </row>
    <row r="159">
      <c r="A159" s="18" t="n"/>
      <c r="B159" s="19" t="n"/>
      <c r="C159" s="20" t="n"/>
      <c r="D159" s="20" t="n"/>
      <c r="E159" s="18" t="n"/>
      <c r="F159" s="21" t="n"/>
      <c r="G159" s="32" t="n"/>
      <c r="H159" s="32" t="n"/>
      <c r="I159" s="32" t="n"/>
      <c r="J159" s="32" t="n"/>
      <c r="K159" s="32" t="n"/>
      <c r="L159" s="32" t="n"/>
      <c r="M159" s="18" t="n"/>
      <c r="N159" s="23">
        <f>IF($M159="","",IFERROR(VLOOKUP($M159,Recursos!$A$6:$H$105,3,FALSE),"Código no encontrado"))</f>
        <v/>
      </c>
      <c r="O159" s="24">
        <f>IF($M159="","",IFERROR(VLOOKUP($M159,Recursos!$A$6:$H$105,2,FALSE),""))</f>
        <v/>
      </c>
      <c r="P159" s="25" t="n"/>
      <c r="Q159" s="24">
        <f>IF($M159="","",IFERROR(VLOOKUP($M159,Recursos!$A$6:$H$105,5,FALSE),""))</f>
        <v/>
      </c>
      <c r="R159" s="26">
        <f>IF($M159="","",IFERROR(VLOOKUP($M159,Recursos!$A$6:$H$105,4,FALSE),""))</f>
        <v/>
      </c>
      <c r="S159" s="27">
        <f>IF($M159="","",IFERROR(VLOOKUP($M159,Recursos!$A$6:$H$105,6,FALSE),""))</f>
        <v/>
      </c>
      <c r="T159" s="27">
        <f>IF(OR($P159="",$S159=""),"",ROUND($P159*$S159,2))</f>
        <v/>
      </c>
      <c r="U159" s="18" t="n"/>
      <c r="V159" s="18" t="n"/>
      <c r="W159" s="18" t="n"/>
      <c r="X159" s="25" t="n"/>
      <c r="Y159" s="25" t="n"/>
      <c r="Z159" s="32" t="n"/>
      <c r="AA159" s="32" t="n"/>
      <c r="AB159" s="18" t="n"/>
      <c r="AC159" s="20" t="n"/>
      <c r="AD159" s="26">
        <f>IF($P159="","",MAX(0,$P159-N($X159)))</f>
        <v/>
      </c>
      <c r="AE159" s="23">
        <f>IF($A159="","",IF($M159="","Falta recurso",IF(IFERROR(VLOOKUP($M159,Recursos!$A$6:$H$105,7,FALSE),"No")&lt;&gt;"Sí","Recurso no activo",IF(OR($B159="",$H159="",$L159=""),"Faltan fecha u horarios",IF(OR($G159&gt;$H159,$H159&gt;$I159,$I159&gt;$J159,$J159&gt;$K159,$K159&gt;$L159),"Revisar secuencia horaria",IF(SUMPRODUCT(($B$6:$B$205=$B159)*($M$6:$M$205=$M159)*($H$6:$H$205&lt;$L159)*($L$6:$L$205&gt;$H159)*N($P$6:$P$205))&gt;N($R159),"Stock insuficiente",IF(AND($U159&lt;&gt;"",SUMPRODUCT(($B$6:$B$205=$B159)*($U$6:$U$205=$U159)*($A$6:$A$205&lt;&gt;$A159)*($H$6:$H$205&lt;$L159)*($L$6:$L$205&gt;$H159))&gt;0),"Vehículo solapado",IF(AND($Z159&lt;&gt;"",$J159&lt;&gt;"",$Z159&gt;$J159),"Entrega fuera de ventana",IF(AND($W159="Devuelto",N($Y159)&lt;N($X159)),"Devolución incompleta","")))))))))</f>
        <v/>
      </c>
      <c r="AF159" s="24">
        <f>IF($A159="","",IF(OR($B159="",$C159="",$D159="",$E159="",$H159="",$I159="",$J159="",$L159="",$M159="",$P159="",$U159="",$V159="",$W159=""),"Revisar",IF($AE159&lt;&gt;"","Revisar","Correcto")))</f>
        <v/>
      </c>
    </row>
    <row r="160">
      <c r="A160" s="18" t="n"/>
      <c r="B160" s="19" t="n"/>
      <c r="C160" s="20" t="n"/>
      <c r="D160" s="20" t="n"/>
      <c r="E160" s="18" t="n"/>
      <c r="F160" s="21" t="n"/>
      <c r="G160" s="32" t="n"/>
      <c r="H160" s="32" t="n"/>
      <c r="I160" s="32" t="n"/>
      <c r="J160" s="32" t="n"/>
      <c r="K160" s="32" t="n"/>
      <c r="L160" s="32" t="n"/>
      <c r="M160" s="18" t="n"/>
      <c r="N160" s="23">
        <f>IF($M160="","",IFERROR(VLOOKUP($M160,Recursos!$A$6:$H$105,3,FALSE),"Código no encontrado"))</f>
        <v/>
      </c>
      <c r="O160" s="24">
        <f>IF($M160="","",IFERROR(VLOOKUP($M160,Recursos!$A$6:$H$105,2,FALSE),""))</f>
        <v/>
      </c>
      <c r="P160" s="25" t="n"/>
      <c r="Q160" s="24">
        <f>IF($M160="","",IFERROR(VLOOKUP($M160,Recursos!$A$6:$H$105,5,FALSE),""))</f>
        <v/>
      </c>
      <c r="R160" s="26">
        <f>IF($M160="","",IFERROR(VLOOKUP($M160,Recursos!$A$6:$H$105,4,FALSE),""))</f>
        <v/>
      </c>
      <c r="S160" s="27">
        <f>IF($M160="","",IFERROR(VLOOKUP($M160,Recursos!$A$6:$H$105,6,FALSE),""))</f>
        <v/>
      </c>
      <c r="T160" s="27">
        <f>IF(OR($P160="",$S160=""),"",ROUND($P160*$S160,2))</f>
        <v/>
      </c>
      <c r="U160" s="18" t="n"/>
      <c r="V160" s="18" t="n"/>
      <c r="W160" s="18" t="n"/>
      <c r="X160" s="25" t="n"/>
      <c r="Y160" s="25" t="n"/>
      <c r="Z160" s="32" t="n"/>
      <c r="AA160" s="32" t="n"/>
      <c r="AB160" s="18" t="n"/>
      <c r="AC160" s="20" t="n"/>
      <c r="AD160" s="26">
        <f>IF($P160="","",MAX(0,$P160-N($X160)))</f>
        <v/>
      </c>
      <c r="AE160" s="23">
        <f>IF($A160="","",IF($M160="","Falta recurso",IF(IFERROR(VLOOKUP($M160,Recursos!$A$6:$H$105,7,FALSE),"No")&lt;&gt;"Sí","Recurso no activo",IF(OR($B160="",$H160="",$L160=""),"Faltan fecha u horarios",IF(OR($G160&gt;$H160,$H160&gt;$I160,$I160&gt;$J160,$J160&gt;$K160,$K160&gt;$L160),"Revisar secuencia horaria",IF(SUMPRODUCT(($B$6:$B$205=$B160)*($M$6:$M$205=$M160)*($H$6:$H$205&lt;$L160)*($L$6:$L$205&gt;$H160)*N($P$6:$P$205))&gt;N($R160),"Stock insuficiente",IF(AND($U160&lt;&gt;"",SUMPRODUCT(($B$6:$B$205=$B160)*($U$6:$U$205=$U160)*($A$6:$A$205&lt;&gt;$A160)*($H$6:$H$205&lt;$L160)*($L$6:$L$205&gt;$H160))&gt;0),"Vehículo solapado",IF(AND($Z160&lt;&gt;"",$J160&lt;&gt;"",$Z160&gt;$J160),"Entrega fuera de ventana",IF(AND($W160="Devuelto",N($Y160)&lt;N($X160)),"Devolución incompleta","")))))))))</f>
        <v/>
      </c>
      <c r="AF160" s="24">
        <f>IF($A160="","",IF(OR($B160="",$C160="",$D160="",$E160="",$H160="",$I160="",$J160="",$L160="",$M160="",$P160="",$U160="",$V160="",$W160=""),"Revisar",IF($AE160&lt;&gt;"","Revisar","Correcto")))</f>
        <v/>
      </c>
    </row>
    <row r="161">
      <c r="A161" s="18" t="n"/>
      <c r="B161" s="19" t="n"/>
      <c r="C161" s="20" t="n"/>
      <c r="D161" s="20" t="n"/>
      <c r="E161" s="18" t="n"/>
      <c r="F161" s="21" t="n"/>
      <c r="G161" s="32" t="n"/>
      <c r="H161" s="32" t="n"/>
      <c r="I161" s="32" t="n"/>
      <c r="J161" s="32" t="n"/>
      <c r="K161" s="32" t="n"/>
      <c r="L161" s="32" t="n"/>
      <c r="M161" s="18" t="n"/>
      <c r="N161" s="23">
        <f>IF($M161="","",IFERROR(VLOOKUP($M161,Recursos!$A$6:$H$105,3,FALSE),"Código no encontrado"))</f>
        <v/>
      </c>
      <c r="O161" s="24">
        <f>IF($M161="","",IFERROR(VLOOKUP($M161,Recursos!$A$6:$H$105,2,FALSE),""))</f>
        <v/>
      </c>
      <c r="P161" s="25" t="n"/>
      <c r="Q161" s="24">
        <f>IF($M161="","",IFERROR(VLOOKUP($M161,Recursos!$A$6:$H$105,5,FALSE),""))</f>
        <v/>
      </c>
      <c r="R161" s="26">
        <f>IF($M161="","",IFERROR(VLOOKUP($M161,Recursos!$A$6:$H$105,4,FALSE),""))</f>
        <v/>
      </c>
      <c r="S161" s="27">
        <f>IF($M161="","",IFERROR(VLOOKUP($M161,Recursos!$A$6:$H$105,6,FALSE),""))</f>
        <v/>
      </c>
      <c r="T161" s="27">
        <f>IF(OR($P161="",$S161=""),"",ROUND($P161*$S161,2))</f>
        <v/>
      </c>
      <c r="U161" s="18" t="n"/>
      <c r="V161" s="18" t="n"/>
      <c r="W161" s="18" t="n"/>
      <c r="X161" s="25" t="n"/>
      <c r="Y161" s="25" t="n"/>
      <c r="Z161" s="32" t="n"/>
      <c r="AA161" s="32" t="n"/>
      <c r="AB161" s="18" t="n"/>
      <c r="AC161" s="20" t="n"/>
      <c r="AD161" s="26">
        <f>IF($P161="","",MAX(0,$P161-N($X161)))</f>
        <v/>
      </c>
      <c r="AE161" s="23">
        <f>IF($A161="","",IF($M161="","Falta recurso",IF(IFERROR(VLOOKUP($M161,Recursos!$A$6:$H$105,7,FALSE),"No")&lt;&gt;"Sí","Recurso no activo",IF(OR($B161="",$H161="",$L161=""),"Faltan fecha u horarios",IF(OR($G161&gt;$H161,$H161&gt;$I161,$I161&gt;$J161,$J161&gt;$K161,$K161&gt;$L161),"Revisar secuencia horaria",IF(SUMPRODUCT(($B$6:$B$205=$B161)*($M$6:$M$205=$M161)*($H$6:$H$205&lt;$L161)*($L$6:$L$205&gt;$H161)*N($P$6:$P$205))&gt;N($R161),"Stock insuficiente",IF(AND($U161&lt;&gt;"",SUMPRODUCT(($B$6:$B$205=$B161)*($U$6:$U$205=$U161)*($A$6:$A$205&lt;&gt;$A161)*($H$6:$H$205&lt;$L161)*($L$6:$L$205&gt;$H161))&gt;0),"Vehículo solapado",IF(AND($Z161&lt;&gt;"",$J161&lt;&gt;"",$Z161&gt;$J161),"Entrega fuera de ventana",IF(AND($W161="Devuelto",N($Y161)&lt;N($X161)),"Devolución incompleta","")))))))))</f>
        <v/>
      </c>
      <c r="AF161" s="24">
        <f>IF($A161="","",IF(OR($B161="",$C161="",$D161="",$E161="",$H161="",$I161="",$J161="",$L161="",$M161="",$P161="",$U161="",$V161="",$W161=""),"Revisar",IF($AE161&lt;&gt;"","Revisar","Correcto")))</f>
        <v/>
      </c>
    </row>
    <row r="162">
      <c r="A162" s="18" t="n"/>
      <c r="B162" s="19" t="n"/>
      <c r="C162" s="20" t="n"/>
      <c r="D162" s="20" t="n"/>
      <c r="E162" s="18" t="n"/>
      <c r="F162" s="21" t="n"/>
      <c r="G162" s="32" t="n"/>
      <c r="H162" s="32" t="n"/>
      <c r="I162" s="32" t="n"/>
      <c r="J162" s="32" t="n"/>
      <c r="K162" s="32" t="n"/>
      <c r="L162" s="32" t="n"/>
      <c r="M162" s="18" t="n"/>
      <c r="N162" s="23">
        <f>IF($M162="","",IFERROR(VLOOKUP($M162,Recursos!$A$6:$H$105,3,FALSE),"Código no encontrado"))</f>
        <v/>
      </c>
      <c r="O162" s="24">
        <f>IF($M162="","",IFERROR(VLOOKUP($M162,Recursos!$A$6:$H$105,2,FALSE),""))</f>
        <v/>
      </c>
      <c r="P162" s="25" t="n"/>
      <c r="Q162" s="24">
        <f>IF($M162="","",IFERROR(VLOOKUP($M162,Recursos!$A$6:$H$105,5,FALSE),""))</f>
        <v/>
      </c>
      <c r="R162" s="26">
        <f>IF($M162="","",IFERROR(VLOOKUP($M162,Recursos!$A$6:$H$105,4,FALSE),""))</f>
        <v/>
      </c>
      <c r="S162" s="27">
        <f>IF($M162="","",IFERROR(VLOOKUP($M162,Recursos!$A$6:$H$105,6,FALSE),""))</f>
        <v/>
      </c>
      <c r="T162" s="27">
        <f>IF(OR($P162="",$S162=""),"",ROUND($P162*$S162,2))</f>
        <v/>
      </c>
      <c r="U162" s="18" t="n"/>
      <c r="V162" s="18" t="n"/>
      <c r="W162" s="18" t="n"/>
      <c r="X162" s="25" t="n"/>
      <c r="Y162" s="25" t="n"/>
      <c r="Z162" s="32" t="n"/>
      <c r="AA162" s="32" t="n"/>
      <c r="AB162" s="18" t="n"/>
      <c r="AC162" s="20" t="n"/>
      <c r="AD162" s="26">
        <f>IF($P162="","",MAX(0,$P162-N($X162)))</f>
        <v/>
      </c>
      <c r="AE162" s="23">
        <f>IF($A162="","",IF($M162="","Falta recurso",IF(IFERROR(VLOOKUP($M162,Recursos!$A$6:$H$105,7,FALSE),"No")&lt;&gt;"Sí","Recurso no activo",IF(OR($B162="",$H162="",$L162=""),"Faltan fecha u horarios",IF(OR($G162&gt;$H162,$H162&gt;$I162,$I162&gt;$J162,$J162&gt;$K162,$K162&gt;$L162),"Revisar secuencia horaria",IF(SUMPRODUCT(($B$6:$B$205=$B162)*($M$6:$M$205=$M162)*($H$6:$H$205&lt;$L162)*($L$6:$L$205&gt;$H162)*N($P$6:$P$205))&gt;N($R162),"Stock insuficiente",IF(AND($U162&lt;&gt;"",SUMPRODUCT(($B$6:$B$205=$B162)*($U$6:$U$205=$U162)*($A$6:$A$205&lt;&gt;$A162)*($H$6:$H$205&lt;$L162)*($L$6:$L$205&gt;$H162))&gt;0),"Vehículo solapado",IF(AND($Z162&lt;&gt;"",$J162&lt;&gt;"",$Z162&gt;$J162),"Entrega fuera de ventana",IF(AND($W162="Devuelto",N($Y162)&lt;N($X162)),"Devolución incompleta","")))))))))</f>
        <v/>
      </c>
      <c r="AF162" s="24">
        <f>IF($A162="","",IF(OR($B162="",$C162="",$D162="",$E162="",$H162="",$I162="",$J162="",$L162="",$M162="",$P162="",$U162="",$V162="",$W162=""),"Revisar",IF($AE162&lt;&gt;"","Revisar","Correcto")))</f>
        <v/>
      </c>
    </row>
    <row r="163">
      <c r="A163" s="18" t="n"/>
      <c r="B163" s="19" t="n"/>
      <c r="C163" s="20" t="n"/>
      <c r="D163" s="20" t="n"/>
      <c r="E163" s="18" t="n"/>
      <c r="F163" s="21" t="n"/>
      <c r="G163" s="32" t="n"/>
      <c r="H163" s="32" t="n"/>
      <c r="I163" s="32" t="n"/>
      <c r="J163" s="32" t="n"/>
      <c r="K163" s="32" t="n"/>
      <c r="L163" s="32" t="n"/>
      <c r="M163" s="18" t="n"/>
      <c r="N163" s="23">
        <f>IF($M163="","",IFERROR(VLOOKUP($M163,Recursos!$A$6:$H$105,3,FALSE),"Código no encontrado"))</f>
        <v/>
      </c>
      <c r="O163" s="24">
        <f>IF($M163="","",IFERROR(VLOOKUP($M163,Recursos!$A$6:$H$105,2,FALSE),""))</f>
        <v/>
      </c>
      <c r="P163" s="25" t="n"/>
      <c r="Q163" s="24">
        <f>IF($M163="","",IFERROR(VLOOKUP($M163,Recursos!$A$6:$H$105,5,FALSE),""))</f>
        <v/>
      </c>
      <c r="R163" s="26">
        <f>IF($M163="","",IFERROR(VLOOKUP($M163,Recursos!$A$6:$H$105,4,FALSE),""))</f>
        <v/>
      </c>
      <c r="S163" s="27">
        <f>IF($M163="","",IFERROR(VLOOKUP($M163,Recursos!$A$6:$H$105,6,FALSE),""))</f>
        <v/>
      </c>
      <c r="T163" s="27">
        <f>IF(OR($P163="",$S163=""),"",ROUND($P163*$S163,2))</f>
        <v/>
      </c>
      <c r="U163" s="18" t="n"/>
      <c r="V163" s="18" t="n"/>
      <c r="W163" s="18" t="n"/>
      <c r="X163" s="25" t="n"/>
      <c r="Y163" s="25" t="n"/>
      <c r="Z163" s="32" t="n"/>
      <c r="AA163" s="32" t="n"/>
      <c r="AB163" s="18" t="n"/>
      <c r="AC163" s="20" t="n"/>
      <c r="AD163" s="26">
        <f>IF($P163="","",MAX(0,$P163-N($X163)))</f>
        <v/>
      </c>
      <c r="AE163" s="23">
        <f>IF($A163="","",IF($M163="","Falta recurso",IF(IFERROR(VLOOKUP($M163,Recursos!$A$6:$H$105,7,FALSE),"No")&lt;&gt;"Sí","Recurso no activo",IF(OR($B163="",$H163="",$L163=""),"Faltan fecha u horarios",IF(OR($G163&gt;$H163,$H163&gt;$I163,$I163&gt;$J163,$J163&gt;$K163,$K163&gt;$L163),"Revisar secuencia horaria",IF(SUMPRODUCT(($B$6:$B$205=$B163)*($M$6:$M$205=$M163)*($H$6:$H$205&lt;$L163)*($L$6:$L$205&gt;$H163)*N($P$6:$P$205))&gt;N($R163),"Stock insuficiente",IF(AND($U163&lt;&gt;"",SUMPRODUCT(($B$6:$B$205=$B163)*($U$6:$U$205=$U163)*($A$6:$A$205&lt;&gt;$A163)*($H$6:$H$205&lt;$L163)*($L$6:$L$205&gt;$H163))&gt;0),"Vehículo solapado",IF(AND($Z163&lt;&gt;"",$J163&lt;&gt;"",$Z163&gt;$J163),"Entrega fuera de ventana",IF(AND($W163="Devuelto",N($Y163)&lt;N($X163)),"Devolución incompleta","")))))))))</f>
        <v/>
      </c>
      <c r="AF163" s="24">
        <f>IF($A163="","",IF(OR($B163="",$C163="",$D163="",$E163="",$H163="",$I163="",$J163="",$L163="",$M163="",$P163="",$U163="",$V163="",$W163=""),"Revisar",IF($AE163&lt;&gt;"","Revisar","Correcto")))</f>
        <v/>
      </c>
    </row>
    <row r="164">
      <c r="A164" s="18" t="n"/>
      <c r="B164" s="19" t="n"/>
      <c r="C164" s="20" t="n"/>
      <c r="D164" s="20" t="n"/>
      <c r="E164" s="18" t="n"/>
      <c r="F164" s="21" t="n"/>
      <c r="G164" s="32" t="n"/>
      <c r="H164" s="32" t="n"/>
      <c r="I164" s="32" t="n"/>
      <c r="J164" s="32" t="n"/>
      <c r="K164" s="32" t="n"/>
      <c r="L164" s="32" t="n"/>
      <c r="M164" s="18" t="n"/>
      <c r="N164" s="23">
        <f>IF($M164="","",IFERROR(VLOOKUP($M164,Recursos!$A$6:$H$105,3,FALSE),"Código no encontrado"))</f>
        <v/>
      </c>
      <c r="O164" s="24">
        <f>IF($M164="","",IFERROR(VLOOKUP($M164,Recursos!$A$6:$H$105,2,FALSE),""))</f>
        <v/>
      </c>
      <c r="P164" s="25" t="n"/>
      <c r="Q164" s="24">
        <f>IF($M164="","",IFERROR(VLOOKUP($M164,Recursos!$A$6:$H$105,5,FALSE),""))</f>
        <v/>
      </c>
      <c r="R164" s="26">
        <f>IF($M164="","",IFERROR(VLOOKUP($M164,Recursos!$A$6:$H$105,4,FALSE),""))</f>
        <v/>
      </c>
      <c r="S164" s="27">
        <f>IF($M164="","",IFERROR(VLOOKUP($M164,Recursos!$A$6:$H$105,6,FALSE),""))</f>
        <v/>
      </c>
      <c r="T164" s="27">
        <f>IF(OR($P164="",$S164=""),"",ROUND($P164*$S164,2))</f>
        <v/>
      </c>
      <c r="U164" s="18" t="n"/>
      <c r="V164" s="18" t="n"/>
      <c r="W164" s="18" t="n"/>
      <c r="X164" s="25" t="n"/>
      <c r="Y164" s="25" t="n"/>
      <c r="Z164" s="32" t="n"/>
      <c r="AA164" s="32" t="n"/>
      <c r="AB164" s="18" t="n"/>
      <c r="AC164" s="20" t="n"/>
      <c r="AD164" s="26">
        <f>IF($P164="","",MAX(0,$P164-N($X164)))</f>
        <v/>
      </c>
      <c r="AE164" s="23">
        <f>IF($A164="","",IF($M164="","Falta recurso",IF(IFERROR(VLOOKUP($M164,Recursos!$A$6:$H$105,7,FALSE),"No")&lt;&gt;"Sí","Recurso no activo",IF(OR($B164="",$H164="",$L164=""),"Faltan fecha u horarios",IF(OR($G164&gt;$H164,$H164&gt;$I164,$I164&gt;$J164,$J164&gt;$K164,$K164&gt;$L164),"Revisar secuencia horaria",IF(SUMPRODUCT(($B$6:$B$205=$B164)*($M$6:$M$205=$M164)*($H$6:$H$205&lt;$L164)*($L$6:$L$205&gt;$H164)*N($P$6:$P$205))&gt;N($R164),"Stock insuficiente",IF(AND($U164&lt;&gt;"",SUMPRODUCT(($B$6:$B$205=$B164)*($U$6:$U$205=$U164)*($A$6:$A$205&lt;&gt;$A164)*($H$6:$H$205&lt;$L164)*($L$6:$L$205&gt;$H164))&gt;0),"Vehículo solapado",IF(AND($Z164&lt;&gt;"",$J164&lt;&gt;"",$Z164&gt;$J164),"Entrega fuera de ventana",IF(AND($W164="Devuelto",N($Y164)&lt;N($X164)),"Devolución incompleta","")))))))))</f>
        <v/>
      </c>
      <c r="AF164" s="24">
        <f>IF($A164="","",IF(OR($B164="",$C164="",$D164="",$E164="",$H164="",$I164="",$J164="",$L164="",$M164="",$P164="",$U164="",$V164="",$W164=""),"Revisar",IF($AE164&lt;&gt;"","Revisar","Correcto")))</f>
        <v/>
      </c>
    </row>
    <row r="165">
      <c r="A165" s="18" t="n"/>
      <c r="B165" s="19" t="n"/>
      <c r="C165" s="20" t="n"/>
      <c r="D165" s="20" t="n"/>
      <c r="E165" s="18" t="n"/>
      <c r="F165" s="21" t="n"/>
      <c r="G165" s="32" t="n"/>
      <c r="H165" s="32" t="n"/>
      <c r="I165" s="32" t="n"/>
      <c r="J165" s="32" t="n"/>
      <c r="K165" s="32" t="n"/>
      <c r="L165" s="32" t="n"/>
      <c r="M165" s="18" t="n"/>
      <c r="N165" s="23">
        <f>IF($M165="","",IFERROR(VLOOKUP($M165,Recursos!$A$6:$H$105,3,FALSE),"Código no encontrado"))</f>
        <v/>
      </c>
      <c r="O165" s="24">
        <f>IF($M165="","",IFERROR(VLOOKUP($M165,Recursos!$A$6:$H$105,2,FALSE),""))</f>
        <v/>
      </c>
      <c r="P165" s="25" t="n"/>
      <c r="Q165" s="24">
        <f>IF($M165="","",IFERROR(VLOOKUP($M165,Recursos!$A$6:$H$105,5,FALSE),""))</f>
        <v/>
      </c>
      <c r="R165" s="26">
        <f>IF($M165="","",IFERROR(VLOOKUP($M165,Recursos!$A$6:$H$105,4,FALSE),""))</f>
        <v/>
      </c>
      <c r="S165" s="27">
        <f>IF($M165="","",IFERROR(VLOOKUP($M165,Recursos!$A$6:$H$105,6,FALSE),""))</f>
        <v/>
      </c>
      <c r="T165" s="27">
        <f>IF(OR($P165="",$S165=""),"",ROUND($P165*$S165,2))</f>
        <v/>
      </c>
      <c r="U165" s="18" t="n"/>
      <c r="V165" s="18" t="n"/>
      <c r="W165" s="18" t="n"/>
      <c r="X165" s="25" t="n"/>
      <c r="Y165" s="25" t="n"/>
      <c r="Z165" s="32" t="n"/>
      <c r="AA165" s="32" t="n"/>
      <c r="AB165" s="18" t="n"/>
      <c r="AC165" s="20" t="n"/>
      <c r="AD165" s="26">
        <f>IF($P165="","",MAX(0,$P165-N($X165)))</f>
        <v/>
      </c>
      <c r="AE165" s="23">
        <f>IF($A165="","",IF($M165="","Falta recurso",IF(IFERROR(VLOOKUP($M165,Recursos!$A$6:$H$105,7,FALSE),"No")&lt;&gt;"Sí","Recurso no activo",IF(OR($B165="",$H165="",$L165=""),"Faltan fecha u horarios",IF(OR($G165&gt;$H165,$H165&gt;$I165,$I165&gt;$J165,$J165&gt;$K165,$K165&gt;$L165),"Revisar secuencia horaria",IF(SUMPRODUCT(($B$6:$B$205=$B165)*($M$6:$M$205=$M165)*($H$6:$H$205&lt;$L165)*($L$6:$L$205&gt;$H165)*N($P$6:$P$205))&gt;N($R165),"Stock insuficiente",IF(AND($U165&lt;&gt;"",SUMPRODUCT(($B$6:$B$205=$B165)*($U$6:$U$205=$U165)*($A$6:$A$205&lt;&gt;$A165)*($H$6:$H$205&lt;$L165)*($L$6:$L$205&gt;$H165))&gt;0),"Vehículo solapado",IF(AND($Z165&lt;&gt;"",$J165&lt;&gt;"",$Z165&gt;$J165),"Entrega fuera de ventana",IF(AND($W165="Devuelto",N($Y165)&lt;N($X165)),"Devolución incompleta","")))))))))</f>
        <v/>
      </c>
      <c r="AF165" s="24">
        <f>IF($A165="","",IF(OR($B165="",$C165="",$D165="",$E165="",$H165="",$I165="",$J165="",$L165="",$M165="",$P165="",$U165="",$V165="",$W165=""),"Revisar",IF($AE165&lt;&gt;"","Revisar","Correcto")))</f>
        <v/>
      </c>
    </row>
    <row r="166">
      <c r="A166" s="18" t="n"/>
      <c r="B166" s="19" t="n"/>
      <c r="C166" s="20" t="n"/>
      <c r="D166" s="20" t="n"/>
      <c r="E166" s="18" t="n"/>
      <c r="F166" s="21" t="n"/>
      <c r="G166" s="32" t="n"/>
      <c r="H166" s="32" t="n"/>
      <c r="I166" s="32" t="n"/>
      <c r="J166" s="32" t="n"/>
      <c r="K166" s="32" t="n"/>
      <c r="L166" s="32" t="n"/>
      <c r="M166" s="18" t="n"/>
      <c r="N166" s="23">
        <f>IF($M166="","",IFERROR(VLOOKUP($M166,Recursos!$A$6:$H$105,3,FALSE),"Código no encontrado"))</f>
        <v/>
      </c>
      <c r="O166" s="24">
        <f>IF($M166="","",IFERROR(VLOOKUP($M166,Recursos!$A$6:$H$105,2,FALSE),""))</f>
        <v/>
      </c>
      <c r="P166" s="25" t="n"/>
      <c r="Q166" s="24">
        <f>IF($M166="","",IFERROR(VLOOKUP($M166,Recursos!$A$6:$H$105,5,FALSE),""))</f>
        <v/>
      </c>
      <c r="R166" s="26">
        <f>IF($M166="","",IFERROR(VLOOKUP($M166,Recursos!$A$6:$H$105,4,FALSE),""))</f>
        <v/>
      </c>
      <c r="S166" s="27">
        <f>IF($M166="","",IFERROR(VLOOKUP($M166,Recursos!$A$6:$H$105,6,FALSE),""))</f>
        <v/>
      </c>
      <c r="T166" s="27">
        <f>IF(OR($P166="",$S166=""),"",ROUND($P166*$S166,2))</f>
        <v/>
      </c>
      <c r="U166" s="18" t="n"/>
      <c r="V166" s="18" t="n"/>
      <c r="W166" s="18" t="n"/>
      <c r="X166" s="25" t="n"/>
      <c r="Y166" s="25" t="n"/>
      <c r="Z166" s="32" t="n"/>
      <c r="AA166" s="32" t="n"/>
      <c r="AB166" s="18" t="n"/>
      <c r="AC166" s="20" t="n"/>
      <c r="AD166" s="26">
        <f>IF($P166="","",MAX(0,$P166-N($X166)))</f>
        <v/>
      </c>
      <c r="AE166" s="23">
        <f>IF($A166="","",IF($M166="","Falta recurso",IF(IFERROR(VLOOKUP($M166,Recursos!$A$6:$H$105,7,FALSE),"No")&lt;&gt;"Sí","Recurso no activo",IF(OR($B166="",$H166="",$L166=""),"Faltan fecha u horarios",IF(OR($G166&gt;$H166,$H166&gt;$I166,$I166&gt;$J166,$J166&gt;$K166,$K166&gt;$L166),"Revisar secuencia horaria",IF(SUMPRODUCT(($B$6:$B$205=$B166)*($M$6:$M$205=$M166)*($H$6:$H$205&lt;$L166)*($L$6:$L$205&gt;$H166)*N($P$6:$P$205))&gt;N($R166),"Stock insuficiente",IF(AND($U166&lt;&gt;"",SUMPRODUCT(($B$6:$B$205=$B166)*($U$6:$U$205=$U166)*($A$6:$A$205&lt;&gt;$A166)*($H$6:$H$205&lt;$L166)*($L$6:$L$205&gt;$H166))&gt;0),"Vehículo solapado",IF(AND($Z166&lt;&gt;"",$J166&lt;&gt;"",$Z166&gt;$J166),"Entrega fuera de ventana",IF(AND($W166="Devuelto",N($Y166)&lt;N($X166)),"Devolución incompleta","")))))))))</f>
        <v/>
      </c>
      <c r="AF166" s="24">
        <f>IF($A166="","",IF(OR($B166="",$C166="",$D166="",$E166="",$H166="",$I166="",$J166="",$L166="",$M166="",$P166="",$U166="",$V166="",$W166=""),"Revisar",IF($AE166&lt;&gt;"","Revisar","Correcto")))</f>
        <v/>
      </c>
    </row>
    <row r="167">
      <c r="A167" s="18" t="n"/>
      <c r="B167" s="19" t="n"/>
      <c r="C167" s="20" t="n"/>
      <c r="D167" s="20" t="n"/>
      <c r="E167" s="18" t="n"/>
      <c r="F167" s="21" t="n"/>
      <c r="G167" s="32" t="n"/>
      <c r="H167" s="32" t="n"/>
      <c r="I167" s="32" t="n"/>
      <c r="J167" s="32" t="n"/>
      <c r="K167" s="32" t="n"/>
      <c r="L167" s="32" t="n"/>
      <c r="M167" s="18" t="n"/>
      <c r="N167" s="23">
        <f>IF($M167="","",IFERROR(VLOOKUP($M167,Recursos!$A$6:$H$105,3,FALSE),"Código no encontrado"))</f>
        <v/>
      </c>
      <c r="O167" s="24">
        <f>IF($M167="","",IFERROR(VLOOKUP($M167,Recursos!$A$6:$H$105,2,FALSE),""))</f>
        <v/>
      </c>
      <c r="P167" s="25" t="n"/>
      <c r="Q167" s="24">
        <f>IF($M167="","",IFERROR(VLOOKUP($M167,Recursos!$A$6:$H$105,5,FALSE),""))</f>
        <v/>
      </c>
      <c r="R167" s="26">
        <f>IF($M167="","",IFERROR(VLOOKUP($M167,Recursos!$A$6:$H$105,4,FALSE),""))</f>
        <v/>
      </c>
      <c r="S167" s="27">
        <f>IF($M167="","",IFERROR(VLOOKUP($M167,Recursos!$A$6:$H$105,6,FALSE),""))</f>
        <v/>
      </c>
      <c r="T167" s="27">
        <f>IF(OR($P167="",$S167=""),"",ROUND($P167*$S167,2))</f>
        <v/>
      </c>
      <c r="U167" s="18" t="n"/>
      <c r="V167" s="18" t="n"/>
      <c r="W167" s="18" t="n"/>
      <c r="X167" s="25" t="n"/>
      <c r="Y167" s="25" t="n"/>
      <c r="Z167" s="32" t="n"/>
      <c r="AA167" s="32" t="n"/>
      <c r="AB167" s="18" t="n"/>
      <c r="AC167" s="20" t="n"/>
      <c r="AD167" s="26">
        <f>IF($P167="","",MAX(0,$P167-N($X167)))</f>
        <v/>
      </c>
      <c r="AE167" s="23">
        <f>IF($A167="","",IF($M167="","Falta recurso",IF(IFERROR(VLOOKUP($M167,Recursos!$A$6:$H$105,7,FALSE),"No")&lt;&gt;"Sí","Recurso no activo",IF(OR($B167="",$H167="",$L167=""),"Faltan fecha u horarios",IF(OR($G167&gt;$H167,$H167&gt;$I167,$I167&gt;$J167,$J167&gt;$K167,$K167&gt;$L167),"Revisar secuencia horaria",IF(SUMPRODUCT(($B$6:$B$205=$B167)*($M$6:$M$205=$M167)*($H$6:$H$205&lt;$L167)*($L$6:$L$205&gt;$H167)*N($P$6:$P$205))&gt;N($R167),"Stock insuficiente",IF(AND($U167&lt;&gt;"",SUMPRODUCT(($B$6:$B$205=$B167)*($U$6:$U$205=$U167)*($A$6:$A$205&lt;&gt;$A167)*($H$6:$H$205&lt;$L167)*($L$6:$L$205&gt;$H167))&gt;0),"Vehículo solapado",IF(AND($Z167&lt;&gt;"",$J167&lt;&gt;"",$Z167&gt;$J167),"Entrega fuera de ventana",IF(AND($W167="Devuelto",N($Y167)&lt;N($X167)),"Devolución incompleta","")))))))))</f>
        <v/>
      </c>
      <c r="AF167" s="24">
        <f>IF($A167="","",IF(OR($B167="",$C167="",$D167="",$E167="",$H167="",$I167="",$J167="",$L167="",$M167="",$P167="",$U167="",$V167="",$W167=""),"Revisar",IF($AE167&lt;&gt;"","Revisar","Correcto")))</f>
        <v/>
      </c>
    </row>
    <row r="168">
      <c r="A168" s="18" t="n"/>
      <c r="B168" s="19" t="n"/>
      <c r="C168" s="20" t="n"/>
      <c r="D168" s="20" t="n"/>
      <c r="E168" s="18" t="n"/>
      <c r="F168" s="21" t="n"/>
      <c r="G168" s="32" t="n"/>
      <c r="H168" s="32" t="n"/>
      <c r="I168" s="32" t="n"/>
      <c r="J168" s="32" t="n"/>
      <c r="K168" s="32" t="n"/>
      <c r="L168" s="32" t="n"/>
      <c r="M168" s="18" t="n"/>
      <c r="N168" s="23">
        <f>IF($M168="","",IFERROR(VLOOKUP($M168,Recursos!$A$6:$H$105,3,FALSE),"Código no encontrado"))</f>
        <v/>
      </c>
      <c r="O168" s="24">
        <f>IF($M168="","",IFERROR(VLOOKUP($M168,Recursos!$A$6:$H$105,2,FALSE),""))</f>
        <v/>
      </c>
      <c r="P168" s="25" t="n"/>
      <c r="Q168" s="24">
        <f>IF($M168="","",IFERROR(VLOOKUP($M168,Recursos!$A$6:$H$105,5,FALSE),""))</f>
        <v/>
      </c>
      <c r="R168" s="26">
        <f>IF($M168="","",IFERROR(VLOOKUP($M168,Recursos!$A$6:$H$105,4,FALSE),""))</f>
        <v/>
      </c>
      <c r="S168" s="27">
        <f>IF($M168="","",IFERROR(VLOOKUP($M168,Recursos!$A$6:$H$105,6,FALSE),""))</f>
        <v/>
      </c>
      <c r="T168" s="27">
        <f>IF(OR($P168="",$S168=""),"",ROUND($P168*$S168,2))</f>
        <v/>
      </c>
      <c r="U168" s="18" t="n"/>
      <c r="V168" s="18" t="n"/>
      <c r="W168" s="18" t="n"/>
      <c r="X168" s="25" t="n"/>
      <c r="Y168" s="25" t="n"/>
      <c r="Z168" s="32" t="n"/>
      <c r="AA168" s="32" t="n"/>
      <c r="AB168" s="18" t="n"/>
      <c r="AC168" s="20" t="n"/>
      <c r="AD168" s="26">
        <f>IF($P168="","",MAX(0,$P168-N($X168)))</f>
        <v/>
      </c>
      <c r="AE168" s="23">
        <f>IF($A168="","",IF($M168="","Falta recurso",IF(IFERROR(VLOOKUP($M168,Recursos!$A$6:$H$105,7,FALSE),"No")&lt;&gt;"Sí","Recurso no activo",IF(OR($B168="",$H168="",$L168=""),"Faltan fecha u horarios",IF(OR($G168&gt;$H168,$H168&gt;$I168,$I168&gt;$J168,$J168&gt;$K168,$K168&gt;$L168),"Revisar secuencia horaria",IF(SUMPRODUCT(($B$6:$B$205=$B168)*($M$6:$M$205=$M168)*($H$6:$H$205&lt;$L168)*($L$6:$L$205&gt;$H168)*N($P$6:$P$205))&gt;N($R168),"Stock insuficiente",IF(AND($U168&lt;&gt;"",SUMPRODUCT(($B$6:$B$205=$B168)*($U$6:$U$205=$U168)*($A$6:$A$205&lt;&gt;$A168)*($H$6:$H$205&lt;$L168)*($L$6:$L$205&gt;$H168))&gt;0),"Vehículo solapado",IF(AND($Z168&lt;&gt;"",$J168&lt;&gt;"",$Z168&gt;$J168),"Entrega fuera de ventana",IF(AND($W168="Devuelto",N($Y168)&lt;N($X168)),"Devolución incompleta","")))))))))</f>
        <v/>
      </c>
      <c r="AF168" s="24">
        <f>IF($A168="","",IF(OR($B168="",$C168="",$D168="",$E168="",$H168="",$I168="",$J168="",$L168="",$M168="",$P168="",$U168="",$V168="",$W168=""),"Revisar",IF($AE168&lt;&gt;"","Revisar","Correcto")))</f>
        <v/>
      </c>
    </row>
    <row r="169">
      <c r="A169" s="18" t="n"/>
      <c r="B169" s="19" t="n"/>
      <c r="C169" s="20" t="n"/>
      <c r="D169" s="20" t="n"/>
      <c r="E169" s="18" t="n"/>
      <c r="F169" s="21" t="n"/>
      <c r="G169" s="32" t="n"/>
      <c r="H169" s="32" t="n"/>
      <c r="I169" s="32" t="n"/>
      <c r="J169" s="32" t="n"/>
      <c r="K169" s="32" t="n"/>
      <c r="L169" s="32" t="n"/>
      <c r="M169" s="18" t="n"/>
      <c r="N169" s="23">
        <f>IF($M169="","",IFERROR(VLOOKUP($M169,Recursos!$A$6:$H$105,3,FALSE),"Código no encontrado"))</f>
        <v/>
      </c>
      <c r="O169" s="24">
        <f>IF($M169="","",IFERROR(VLOOKUP($M169,Recursos!$A$6:$H$105,2,FALSE),""))</f>
        <v/>
      </c>
      <c r="P169" s="25" t="n"/>
      <c r="Q169" s="24">
        <f>IF($M169="","",IFERROR(VLOOKUP($M169,Recursos!$A$6:$H$105,5,FALSE),""))</f>
        <v/>
      </c>
      <c r="R169" s="26">
        <f>IF($M169="","",IFERROR(VLOOKUP($M169,Recursos!$A$6:$H$105,4,FALSE),""))</f>
        <v/>
      </c>
      <c r="S169" s="27">
        <f>IF($M169="","",IFERROR(VLOOKUP($M169,Recursos!$A$6:$H$105,6,FALSE),""))</f>
        <v/>
      </c>
      <c r="T169" s="27">
        <f>IF(OR($P169="",$S169=""),"",ROUND($P169*$S169,2))</f>
        <v/>
      </c>
      <c r="U169" s="18" t="n"/>
      <c r="V169" s="18" t="n"/>
      <c r="W169" s="18" t="n"/>
      <c r="X169" s="25" t="n"/>
      <c r="Y169" s="25" t="n"/>
      <c r="Z169" s="32" t="n"/>
      <c r="AA169" s="32" t="n"/>
      <c r="AB169" s="18" t="n"/>
      <c r="AC169" s="20" t="n"/>
      <c r="AD169" s="26">
        <f>IF($P169="","",MAX(0,$P169-N($X169)))</f>
        <v/>
      </c>
      <c r="AE169" s="23">
        <f>IF($A169="","",IF($M169="","Falta recurso",IF(IFERROR(VLOOKUP($M169,Recursos!$A$6:$H$105,7,FALSE),"No")&lt;&gt;"Sí","Recurso no activo",IF(OR($B169="",$H169="",$L169=""),"Faltan fecha u horarios",IF(OR($G169&gt;$H169,$H169&gt;$I169,$I169&gt;$J169,$J169&gt;$K169,$K169&gt;$L169),"Revisar secuencia horaria",IF(SUMPRODUCT(($B$6:$B$205=$B169)*($M$6:$M$205=$M169)*($H$6:$H$205&lt;$L169)*($L$6:$L$205&gt;$H169)*N($P$6:$P$205))&gt;N($R169),"Stock insuficiente",IF(AND($U169&lt;&gt;"",SUMPRODUCT(($B$6:$B$205=$B169)*($U$6:$U$205=$U169)*($A$6:$A$205&lt;&gt;$A169)*($H$6:$H$205&lt;$L169)*($L$6:$L$205&gt;$H169))&gt;0),"Vehículo solapado",IF(AND($Z169&lt;&gt;"",$J169&lt;&gt;"",$Z169&gt;$J169),"Entrega fuera de ventana",IF(AND($W169="Devuelto",N($Y169)&lt;N($X169)),"Devolución incompleta","")))))))))</f>
        <v/>
      </c>
      <c r="AF169" s="24">
        <f>IF($A169="","",IF(OR($B169="",$C169="",$D169="",$E169="",$H169="",$I169="",$J169="",$L169="",$M169="",$P169="",$U169="",$V169="",$W169=""),"Revisar",IF($AE169&lt;&gt;"","Revisar","Correcto")))</f>
        <v/>
      </c>
    </row>
    <row r="170">
      <c r="A170" s="18" t="n"/>
      <c r="B170" s="19" t="n"/>
      <c r="C170" s="20" t="n"/>
      <c r="D170" s="20" t="n"/>
      <c r="E170" s="18" t="n"/>
      <c r="F170" s="21" t="n"/>
      <c r="G170" s="32" t="n"/>
      <c r="H170" s="32" t="n"/>
      <c r="I170" s="32" t="n"/>
      <c r="J170" s="32" t="n"/>
      <c r="K170" s="32" t="n"/>
      <c r="L170" s="32" t="n"/>
      <c r="M170" s="18" t="n"/>
      <c r="N170" s="23">
        <f>IF($M170="","",IFERROR(VLOOKUP($M170,Recursos!$A$6:$H$105,3,FALSE),"Código no encontrado"))</f>
        <v/>
      </c>
      <c r="O170" s="24">
        <f>IF($M170="","",IFERROR(VLOOKUP($M170,Recursos!$A$6:$H$105,2,FALSE),""))</f>
        <v/>
      </c>
      <c r="P170" s="25" t="n"/>
      <c r="Q170" s="24">
        <f>IF($M170="","",IFERROR(VLOOKUP($M170,Recursos!$A$6:$H$105,5,FALSE),""))</f>
        <v/>
      </c>
      <c r="R170" s="26">
        <f>IF($M170="","",IFERROR(VLOOKUP($M170,Recursos!$A$6:$H$105,4,FALSE),""))</f>
        <v/>
      </c>
      <c r="S170" s="27">
        <f>IF($M170="","",IFERROR(VLOOKUP($M170,Recursos!$A$6:$H$105,6,FALSE),""))</f>
        <v/>
      </c>
      <c r="T170" s="27">
        <f>IF(OR($P170="",$S170=""),"",ROUND($P170*$S170,2))</f>
        <v/>
      </c>
      <c r="U170" s="18" t="n"/>
      <c r="V170" s="18" t="n"/>
      <c r="W170" s="18" t="n"/>
      <c r="X170" s="25" t="n"/>
      <c r="Y170" s="25" t="n"/>
      <c r="Z170" s="32" t="n"/>
      <c r="AA170" s="32" t="n"/>
      <c r="AB170" s="18" t="n"/>
      <c r="AC170" s="20" t="n"/>
      <c r="AD170" s="26">
        <f>IF($P170="","",MAX(0,$P170-N($X170)))</f>
        <v/>
      </c>
      <c r="AE170" s="23">
        <f>IF($A170="","",IF($M170="","Falta recurso",IF(IFERROR(VLOOKUP($M170,Recursos!$A$6:$H$105,7,FALSE),"No")&lt;&gt;"Sí","Recurso no activo",IF(OR($B170="",$H170="",$L170=""),"Faltan fecha u horarios",IF(OR($G170&gt;$H170,$H170&gt;$I170,$I170&gt;$J170,$J170&gt;$K170,$K170&gt;$L170),"Revisar secuencia horaria",IF(SUMPRODUCT(($B$6:$B$205=$B170)*($M$6:$M$205=$M170)*($H$6:$H$205&lt;$L170)*($L$6:$L$205&gt;$H170)*N($P$6:$P$205))&gt;N($R170),"Stock insuficiente",IF(AND($U170&lt;&gt;"",SUMPRODUCT(($B$6:$B$205=$B170)*($U$6:$U$205=$U170)*($A$6:$A$205&lt;&gt;$A170)*($H$6:$H$205&lt;$L170)*($L$6:$L$205&gt;$H170))&gt;0),"Vehículo solapado",IF(AND($Z170&lt;&gt;"",$J170&lt;&gt;"",$Z170&gt;$J170),"Entrega fuera de ventana",IF(AND($W170="Devuelto",N($Y170)&lt;N($X170)),"Devolución incompleta","")))))))))</f>
        <v/>
      </c>
      <c r="AF170" s="24">
        <f>IF($A170="","",IF(OR($B170="",$C170="",$D170="",$E170="",$H170="",$I170="",$J170="",$L170="",$M170="",$P170="",$U170="",$V170="",$W170=""),"Revisar",IF($AE170&lt;&gt;"","Revisar","Correcto")))</f>
        <v/>
      </c>
    </row>
    <row r="171">
      <c r="A171" s="18" t="n"/>
      <c r="B171" s="19" t="n"/>
      <c r="C171" s="20" t="n"/>
      <c r="D171" s="20" t="n"/>
      <c r="E171" s="18" t="n"/>
      <c r="F171" s="21" t="n"/>
      <c r="G171" s="32" t="n"/>
      <c r="H171" s="32" t="n"/>
      <c r="I171" s="32" t="n"/>
      <c r="J171" s="32" t="n"/>
      <c r="K171" s="32" t="n"/>
      <c r="L171" s="32" t="n"/>
      <c r="M171" s="18" t="n"/>
      <c r="N171" s="23">
        <f>IF($M171="","",IFERROR(VLOOKUP($M171,Recursos!$A$6:$H$105,3,FALSE),"Código no encontrado"))</f>
        <v/>
      </c>
      <c r="O171" s="24">
        <f>IF($M171="","",IFERROR(VLOOKUP($M171,Recursos!$A$6:$H$105,2,FALSE),""))</f>
        <v/>
      </c>
      <c r="P171" s="25" t="n"/>
      <c r="Q171" s="24">
        <f>IF($M171="","",IFERROR(VLOOKUP($M171,Recursos!$A$6:$H$105,5,FALSE),""))</f>
        <v/>
      </c>
      <c r="R171" s="26">
        <f>IF($M171="","",IFERROR(VLOOKUP($M171,Recursos!$A$6:$H$105,4,FALSE),""))</f>
        <v/>
      </c>
      <c r="S171" s="27">
        <f>IF($M171="","",IFERROR(VLOOKUP($M171,Recursos!$A$6:$H$105,6,FALSE),""))</f>
        <v/>
      </c>
      <c r="T171" s="27">
        <f>IF(OR($P171="",$S171=""),"",ROUND($P171*$S171,2))</f>
        <v/>
      </c>
      <c r="U171" s="18" t="n"/>
      <c r="V171" s="18" t="n"/>
      <c r="W171" s="18" t="n"/>
      <c r="X171" s="25" t="n"/>
      <c r="Y171" s="25" t="n"/>
      <c r="Z171" s="32" t="n"/>
      <c r="AA171" s="32" t="n"/>
      <c r="AB171" s="18" t="n"/>
      <c r="AC171" s="20" t="n"/>
      <c r="AD171" s="26">
        <f>IF($P171="","",MAX(0,$P171-N($X171)))</f>
        <v/>
      </c>
      <c r="AE171" s="23">
        <f>IF($A171="","",IF($M171="","Falta recurso",IF(IFERROR(VLOOKUP($M171,Recursos!$A$6:$H$105,7,FALSE),"No")&lt;&gt;"Sí","Recurso no activo",IF(OR($B171="",$H171="",$L171=""),"Faltan fecha u horarios",IF(OR($G171&gt;$H171,$H171&gt;$I171,$I171&gt;$J171,$J171&gt;$K171,$K171&gt;$L171),"Revisar secuencia horaria",IF(SUMPRODUCT(($B$6:$B$205=$B171)*($M$6:$M$205=$M171)*($H$6:$H$205&lt;$L171)*($L$6:$L$205&gt;$H171)*N($P$6:$P$205))&gt;N($R171),"Stock insuficiente",IF(AND($U171&lt;&gt;"",SUMPRODUCT(($B$6:$B$205=$B171)*($U$6:$U$205=$U171)*($A$6:$A$205&lt;&gt;$A171)*($H$6:$H$205&lt;$L171)*($L$6:$L$205&gt;$H171))&gt;0),"Vehículo solapado",IF(AND($Z171&lt;&gt;"",$J171&lt;&gt;"",$Z171&gt;$J171),"Entrega fuera de ventana",IF(AND($W171="Devuelto",N($Y171)&lt;N($X171)),"Devolución incompleta","")))))))))</f>
        <v/>
      </c>
      <c r="AF171" s="24">
        <f>IF($A171="","",IF(OR($B171="",$C171="",$D171="",$E171="",$H171="",$I171="",$J171="",$L171="",$M171="",$P171="",$U171="",$V171="",$W171=""),"Revisar",IF($AE171&lt;&gt;"","Revisar","Correcto")))</f>
        <v/>
      </c>
    </row>
    <row r="172">
      <c r="A172" s="18" t="n"/>
      <c r="B172" s="19" t="n"/>
      <c r="C172" s="20" t="n"/>
      <c r="D172" s="20" t="n"/>
      <c r="E172" s="18" t="n"/>
      <c r="F172" s="21" t="n"/>
      <c r="G172" s="32" t="n"/>
      <c r="H172" s="32" t="n"/>
      <c r="I172" s="32" t="n"/>
      <c r="J172" s="32" t="n"/>
      <c r="K172" s="32" t="n"/>
      <c r="L172" s="32" t="n"/>
      <c r="M172" s="18" t="n"/>
      <c r="N172" s="23">
        <f>IF($M172="","",IFERROR(VLOOKUP($M172,Recursos!$A$6:$H$105,3,FALSE),"Código no encontrado"))</f>
        <v/>
      </c>
      <c r="O172" s="24">
        <f>IF($M172="","",IFERROR(VLOOKUP($M172,Recursos!$A$6:$H$105,2,FALSE),""))</f>
        <v/>
      </c>
      <c r="P172" s="25" t="n"/>
      <c r="Q172" s="24">
        <f>IF($M172="","",IFERROR(VLOOKUP($M172,Recursos!$A$6:$H$105,5,FALSE),""))</f>
        <v/>
      </c>
      <c r="R172" s="26">
        <f>IF($M172="","",IFERROR(VLOOKUP($M172,Recursos!$A$6:$H$105,4,FALSE),""))</f>
        <v/>
      </c>
      <c r="S172" s="27">
        <f>IF($M172="","",IFERROR(VLOOKUP($M172,Recursos!$A$6:$H$105,6,FALSE),""))</f>
        <v/>
      </c>
      <c r="T172" s="27">
        <f>IF(OR($P172="",$S172=""),"",ROUND($P172*$S172,2))</f>
        <v/>
      </c>
      <c r="U172" s="18" t="n"/>
      <c r="V172" s="18" t="n"/>
      <c r="W172" s="18" t="n"/>
      <c r="X172" s="25" t="n"/>
      <c r="Y172" s="25" t="n"/>
      <c r="Z172" s="32" t="n"/>
      <c r="AA172" s="32" t="n"/>
      <c r="AB172" s="18" t="n"/>
      <c r="AC172" s="20" t="n"/>
      <c r="AD172" s="26">
        <f>IF($P172="","",MAX(0,$P172-N($X172)))</f>
        <v/>
      </c>
      <c r="AE172" s="23">
        <f>IF($A172="","",IF($M172="","Falta recurso",IF(IFERROR(VLOOKUP($M172,Recursos!$A$6:$H$105,7,FALSE),"No")&lt;&gt;"Sí","Recurso no activo",IF(OR($B172="",$H172="",$L172=""),"Faltan fecha u horarios",IF(OR($G172&gt;$H172,$H172&gt;$I172,$I172&gt;$J172,$J172&gt;$K172,$K172&gt;$L172),"Revisar secuencia horaria",IF(SUMPRODUCT(($B$6:$B$205=$B172)*($M$6:$M$205=$M172)*($H$6:$H$205&lt;$L172)*($L$6:$L$205&gt;$H172)*N($P$6:$P$205))&gt;N($R172),"Stock insuficiente",IF(AND($U172&lt;&gt;"",SUMPRODUCT(($B$6:$B$205=$B172)*($U$6:$U$205=$U172)*($A$6:$A$205&lt;&gt;$A172)*($H$6:$H$205&lt;$L172)*($L$6:$L$205&gt;$H172))&gt;0),"Vehículo solapado",IF(AND($Z172&lt;&gt;"",$J172&lt;&gt;"",$Z172&gt;$J172),"Entrega fuera de ventana",IF(AND($W172="Devuelto",N($Y172)&lt;N($X172)),"Devolución incompleta","")))))))))</f>
        <v/>
      </c>
      <c r="AF172" s="24">
        <f>IF($A172="","",IF(OR($B172="",$C172="",$D172="",$E172="",$H172="",$I172="",$J172="",$L172="",$M172="",$P172="",$U172="",$V172="",$W172=""),"Revisar",IF($AE172&lt;&gt;"","Revisar","Correcto")))</f>
        <v/>
      </c>
    </row>
    <row r="173">
      <c r="A173" s="18" t="n"/>
      <c r="B173" s="19" t="n"/>
      <c r="C173" s="20" t="n"/>
      <c r="D173" s="20" t="n"/>
      <c r="E173" s="18" t="n"/>
      <c r="F173" s="21" t="n"/>
      <c r="G173" s="32" t="n"/>
      <c r="H173" s="32" t="n"/>
      <c r="I173" s="32" t="n"/>
      <c r="J173" s="32" t="n"/>
      <c r="K173" s="32" t="n"/>
      <c r="L173" s="32" t="n"/>
      <c r="M173" s="18" t="n"/>
      <c r="N173" s="23">
        <f>IF($M173="","",IFERROR(VLOOKUP($M173,Recursos!$A$6:$H$105,3,FALSE),"Código no encontrado"))</f>
        <v/>
      </c>
      <c r="O173" s="24">
        <f>IF($M173="","",IFERROR(VLOOKUP($M173,Recursos!$A$6:$H$105,2,FALSE),""))</f>
        <v/>
      </c>
      <c r="P173" s="25" t="n"/>
      <c r="Q173" s="24">
        <f>IF($M173="","",IFERROR(VLOOKUP($M173,Recursos!$A$6:$H$105,5,FALSE),""))</f>
        <v/>
      </c>
      <c r="R173" s="26">
        <f>IF($M173="","",IFERROR(VLOOKUP($M173,Recursos!$A$6:$H$105,4,FALSE),""))</f>
        <v/>
      </c>
      <c r="S173" s="27">
        <f>IF($M173="","",IFERROR(VLOOKUP($M173,Recursos!$A$6:$H$105,6,FALSE),""))</f>
        <v/>
      </c>
      <c r="T173" s="27">
        <f>IF(OR($P173="",$S173=""),"",ROUND($P173*$S173,2))</f>
        <v/>
      </c>
      <c r="U173" s="18" t="n"/>
      <c r="V173" s="18" t="n"/>
      <c r="W173" s="18" t="n"/>
      <c r="X173" s="25" t="n"/>
      <c r="Y173" s="25" t="n"/>
      <c r="Z173" s="32" t="n"/>
      <c r="AA173" s="32" t="n"/>
      <c r="AB173" s="18" t="n"/>
      <c r="AC173" s="20" t="n"/>
      <c r="AD173" s="26">
        <f>IF($P173="","",MAX(0,$P173-N($X173)))</f>
        <v/>
      </c>
      <c r="AE173" s="23">
        <f>IF($A173="","",IF($M173="","Falta recurso",IF(IFERROR(VLOOKUP($M173,Recursos!$A$6:$H$105,7,FALSE),"No")&lt;&gt;"Sí","Recurso no activo",IF(OR($B173="",$H173="",$L173=""),"Faltan fecha u horarios",IF(OR($G173&gt;$H173,$H173&gt;$I173,$I173&gt;$J173,$J173&gt;$K173,$K173&gt;$L173),"Revisar secuencia horaria",IF(SUMPRODUCT(($B$6:$B$205=$B173)*($M$6:$M$205=$M173)*($H$6:$H$205&lt;$L173)*($L$6:$L$205&gt;$H173)*N($P$6:$P$205))&gt;N($R173),"Stock insuficiente",IF(AND($U173&lt;&gt;"",SUMPRODUCT(($B$6:$B$205=$B173)*($U$6:$U$205=$U173)*($A$6:$A$205&lt;&gt;$A173)*($H$6:$H$205&lt;$L173)*($L$6:$L$205&gt;$H173))&gt;0),"Vehículo solapado",IF(AND($Z173&lt;&gt;"",$J173&lt;&gt;"",$Z173&gt;$J173),"Entrega fuera de ventana",IF(AND($W173="Devuelto",N($Y173)&lt;N($X173)),"Devolución incompleta","")))))))))</f>
        <v/>
      </c>
      <c r="AF173" s="24">
        <f>IF($A173="","",IF(OR($B173="",$C173="",$D173="",$E173="",$H173="",$I173="",$J173="",$L173="",$M173="",$P173="",$U173="",$V173="",$W173=""),"Revisar",IF($AE173&lt;&gt;"","Revisar","Correcto")))</f>
        <v/>
      </c>
    </row>
    <row r="174">
      <c r="A174" s="18" t="n"/>
      <c r="B174" s="19" t="n"/>
      <c r="C174" s="20" t="n"/>
      <c r="D174" s="20" t="n"/>
      <c r="E174" s="18" t="n"/>
      <c r="F174" s="21" t="n"/>
      <c r="G174" s="32" t="n"/>
      <c r="H174" s="32" t="n"/>
      <c r="I174" s="32" t="n"/>
      <c r="J174" s="32" t="n"/>
      <c r="K174" s="32" t="n"/>
      <c r="L174" s="32" t="n"/>
      <c r="M174" s="18" t="n"/>
      <c r="N174" s="23">
        <f>IF($M174="","",IFERROR(VLOOKUP($M174,Recursos!$A$6:$H$105,3,FALSE),"Código no encontrado"))</f>
        <v/>
      </c>
      <c r="O174" s="24">
        <f>IF($M174="","",IFERROR(VLOOKUP($M174,Recursos!$A$6:$H$105,2,FALSE),""))</f>
        <v/>
      </c>
      <c r="P174" s="25" t="n"/>
      <c r="Q174" s="24">
        <f>IF($M174="","",IFERROR(VLOOKUP($M174,Recursos!$A$6:$H$105,5,FALSE),""))</f>
        <v/>
      </c>
      <c r="R174" s="26">
        <f>IF($M174="","",IFERROR(VLOOKUP($M174,Recursos!$A$6:$H$105,4,FALSE),""))</f>
        <v/>
      </c>
      <c r="S174" s="27">
        <f>IF($M174="","",IFERROR(VLOOKUP($M174,Recursos!$A$6:$H$105,6,FALSE),""))</f>
        <v/>
      </c>
      <c r="T174" s="27">
        <f>IF(OR($P174="",$S174=""),"",ROUND($P174*$S174,2))</f>
        <v/>
      </c>
      <c r="U174" s="18" t="n"/>
      <c r="V174" s="18" t="n"/>
      <c r="W174" s="18" t="n"/>
      <c r="X174" s="25" t="n"/>
      <c r="Y174" s="25" t="n"/>
      <c r="Z174" s="32" t="n"/>
      <c r="AA174" s="32" t="n"/>
      <c r="AB174" s="18" t="n"/>
      <c r="AC174" s="20" t="n"/>
      <c r="AD174" s="26">
        <f>IF($P174="","",MAX(0,$P174-N($X174)))</f>
        <v/>
      </c>
      <c r="AE174" s="23">
        <f>IF($A174="","",IF($M174="","Falta recurso",IF(IFERROR(VLOOKUP($M174,Recursos!$A$6:$H$105,7,FALSE),"No")&lt;&gt;"Sí","Recurso no activo",IF(OR($B174="",$H174="",$L174=""),"Faltan fecha u horarios",IF(OR($G174&gt;$H174,$H174&gt;$I174,$I174&gt;$J174,$J174&gt;$K174,$K174&gt;$L174),"Revisar secuencia horaria",IF(SUMPRODUCT(($B$6:$B$205=$B174)*($M$6:$M$205=$M174)*($H$6:$H$205&lt;$L174)*($L$6:$L$205&gt;$H174)*N($P$6:$P$205))&gt;N($R174),"Stock insuficiente",IF(AND($U174&lt;&gt;"",SUMPRODUCT(($B$6:$B$205=$B174)*($U$6:$U$205=$U174)*($A$6:$A$205&lt;&gt;$A174)*($H$6:$H$205&lt;$L174)*($L$6:$L$205&gt;$H174))&gt;0),"Vehículo solapado",IF(AND($Z174&lt;&gt;"",$J174&lt;&gt;"",$Z174&gt;$J174),"Entrega fuera de ventana",IF(AND($W174="Devuelto",N($Y174)&lt;N($X174)),"Devolución incompleta","")))))))))</f>
        <v/>
      </c>
      <c r="AF174" s="24">
        <f>IF($A174="","",IF(OR($B174="",$C174="",$D174="",$E174="",$H174="",$I174="",$J174="",$L174="",$M174="",$P174="",$U174="",$V174="",$W174=""),"Revisar",IF($AE174&lt;&gt;"","Revisar","Correcto")))</f>
        <v/>
      </c>
    </row>
    <row r="175">
      <c r="A175" s="18" t="n"/>
      <c r="B175" s="19" t="n"/>
      <c r="C175" s="20" t="n"/>
      <c r="D175" s="20" t="n"/>
      <c r="E175" s="18" t="n"/>
      <c r="F175" s="21" t="n"/>
      <c r="G175" s="32" t="n"/>
      <c r="H175" s="32" t="n"/>
      <c r="I175" s="32" t="n"/>
      <c r="J175" s="32" t="n"/>
      <c r="K175" s="32" t="n"/>
      <c r="L175" s="32" t="n"/>
      <c r="M175" s="18" t="n"/>
      <c r="N175" s="23">
        <f>IF($M175="","",IFERROR(VLOOKUP($M175,Recursos!$A$6:$H$105,3,FALSE),"Código no encontrado"))</f>
        <v/>
      </c>
      <c r="O175" s="24">
        <f>IF($M175="","",IFERROR(VLOOKUP($M175,Recursos!$A$6:$H$105,2,FALSE),""))</f>
        <v/>
      </c>
      <c r="P175" s="25" t="n"/>
      <c r="Q175" s="24">
        <f>IF($M175="","",IFERROR(VLOOKUP($M175,Recursos!$A$6:$H$105,5,FALSE),""))</f>
        <v/>
      </c>
      <c r="R175" s="26">
        <f>IF($M175="","",IFERROR(VLOOKUP($M175,Recursos!$A$6:$H$105,4,FALSE),""))</f>
        <v/>
      </c>
      <c r="S175" s="27">
        <f>IF($M175="","",IFERROR(VLOOKUP($M175,Recursos!$A$6:$H$105,6,FALSE),""))</f>
        <v/>
      </c>
      <c r="T175" s="27">
        <f>IF(OR($P175="",$S175=""),"",ROUND($P175*$S175,2))</f>
        <v/>
      </c>
      <c r="U175" s="18" t="n"/>
      <c r="V175" s="18" t="n"/>
      <c r="W175" s="18" t="n"/>
      <c r="X175" s="25" t="n"/>
      <c r="Y175" s="25" t="n"/>
      <c r="Z175" s="32" t="n"/>
      <c r="AA175" s="32" t="n"/>
      <c r="AB175" s="18" t="n"/>
      <c r="AC175" s="20" t="n"/>
      <c r="AD175" s="26">
        <f>IF($P175="","",MAX(0,$P175-N($X175)))</f>
        <v/>
      </c>
      <c r="AE175" s="23">
        <f>IF($A175="","",IF($M175="","Falta recurso",IF(IFERROR(VLOOKUP($M175,Recursos!$A$6:$H$105,7,FALSE),"No")&lt;&gt;"Sí","Recurso no activo",IF(OR($B175="",$H175="",$L175=""),"Faltan fecha u horarios",IF(OR($G175&gt;$H175,$H175&gt;$I175,$I175&gt;$J175,$J175&gt;$K175,$K175&gt;$L175),"Revisar secuencia horaria",IF(SUMPRODUCT(($B$6:$B$205=$B175)*($M$6:$M$205=$M175)*($H$6:$H$205&lt;$L175)*($L$6:$L$205&gt;$H175)*N($P$6:$P$205))&gt;N($R175),"Stock insuficiente",IF(AND($U175&lt;&gt;"",SUMPRODUCT(($B$6:$B$205=$B175)*($U$6:$U$205=$U175)*($A$6:$A$205&lt;&gt;$A175)*($H$6:$H$205&lt;$L175)*($L$6:$L$205&gt;$H175))&gt;0),"Vehículo solapado",IF(AND($Z175&lt;&gt;"",$J175&lt;&gt;"",$Z175&gt;$J175),"Entrega fuera de ventana",IF(AND($W175="Devuelto",N($Y175)&lt;N($X175)),"Devolución incompleta","")))))))))</f>
        <v/>
      </c>
      <c r="AF175" s="24">
        <f>IF($A175="","",IF(OR($B175="",$C175="",$D175="",$E175="",$H175="",$I175="",$J175="",$L175="",$M175="",$P175="",$U175="",$V175="",$W175=""),"Revisar",IF($AE175&lt;&gt;"","Revisar","Correcto")))</f>
        <v/>
      </c>
    </row>
    <row r="176">
      <c r="A176" s="18" t="n"/>
      <c r="B176" s="19" t="n"/>
      <c r="C176" s="20" t="n"/>
      <c r="D176" s="20" t="n"/>
      <c r="E176" s="18" t="n"/>
      <c r="F176" s="21" t="n"/>
      <c r="G176" s="32" t="n"/>
      <c r="H176" s="32" t="n"/>
      <c r="I176" s="32" t="n"/>
      <c r="J176" s="32" t="n"/>
      <c r="K176" s="32" t="n"/>
      <c r="L176" s="32" t="n"/>
      <c r="M176" s="18" t="n"/>
      <c r="N176" s="23">
        <f>IF($M176="","",IFERROR(VLOOKUP($M176,Recursos!$A$6:$H$105,3,FALSE),"Código no encontrado"))</f>
        <v/>
      </c>
      <c r="O176" s="24">
        <f>IF($M176="","",IFERROR(VLOOKUP($M176,Recursos!$A$6:$H$105,2,FALSE),""))</f>
        <v/>
      </c>
      <c r="P176" s="25" t="n"/>
      <c r="Q176" s="24">
        <f>IF($M176="","",IFERROR(VLOOKUP($M176,Recursos!$A$6:$H$105,5,FALSE),""))</f>
        <v/>
      </c>
      <c r="R176" s="26">
        <f>IF($M176="","",IFERROR(VLOOKUP($M176,Recursos!$A$6:$H$105,4,FALSE),""))</f>
        <v/>
      </c>
      <c r="S176" s="27">
        <f>IF($M176="","",IFERROR(VLOOKUP($M176,Recursos!$A$6:$H$105,6,FALSE),""))</f>
        <v/>
      </c>
      <c r="T176" s="27">
        <f>IF(OR($P176="",$S176=""),"",ROUND($P176*$S176,2))</f>
        <v/>
      </c>
      <c r="U176" s="18" t="n"/>
      <c r="V176" s="18" t="n"/>
      <c r="W176" s="18" t="n"/>
      <c r="X176" s="25" t="n"/>
      <c r="Y176" s="25" t="n"/>
      <c r="Z176" s="32" t="n"/>
      <c r="AA176" s="32" t="n"/>
      <c r="AB176" s="18" t="n"/>
      <c r="AC176" s="20" t="n"/>
      <c r="AD176" s="26">
        <f>IF($P176="","",MAX(0,$P176-N($X176)))</f>
        <v/>
      </c>
      <c r="AE176" s="23">
        <f>IF($A176="","",IF($M176="","Falta recurso",IF(IFERROR(VLOOKUP($M176,Recursos!$A$6:$H$105,7,FALSE),"No")&lt;&gt;"Sí","Recurso no activo",IF(OR($B176="",$H176="",$L176=""),"Faltan fecha u horarios",IF(OR($G176&gt;$H176,$H176&gt;$I176,$I176&gt;$J176,$J176&gt;$K176,$K176&gt;$L176),"Revisar secuencia horaria",IF(SUMPRODUCT(($B$6:$B$205=$B176)*($M$6:$M$205=$M176)*($H$6:$H$205&lt;$L176)*($L$6:$L$205&gt;$H176)*N($P$6:$P$205))&gt;N($R176),"Stock insuficiente",IF(AND($U176&lt;&gt;"",SUMPRODUCT(($B$6:$B$205=$B176)*($U$6:$U$205=$U176)*($A$6:$A$205&lt;&gt;$A176)*($H$6:$H$205&lt;$L176)*($L$6:$L$205&gt;$H176))&gt;0),"Vehículo solapado",IF(AND($Z176&lt;&gt;"",$J176&lt;&gt;"",$Z176&gt;$J176),"Entrega fuera de ventana",IF(AND($W176="Devuelto",N($Y176)&lt;N($X176)),"Devolución incompleta","")))))))))</f>
        <v/>
      </c>
      <c r="AF176" s="24">
        <f>IF($A176="","",IF(OR($B176="",$C176="",$D176="",$E176="",$H176="",$I176="",$J176="",$L176="",$M176="",$P176="",$U176="",$V176="",$W176=""),"Revisar",IF($AE176&lt;&gt;"","Revisar","Correcto")))</f>
        <v/>
      </c>
    </row>
    <row r="177">
      <c r="A177" s="18" t="n"/>
      <c r="B177" s="19" t="n"/>
      <c r="C177" s="20" t="n"/>
      <c r="D177" s="20" t="n"/>
      <c r="E177" s="18" t="n"/>
      <c r="F177" s="21" t="n"/>
      <c r="G177" s="32" t="n"/>
      <c r="H177" s="32" t="n"/>
      <c r="I177" s="32" t="n"/>
      <c r="J177" s="32" t="n"/>
      <c r="K177" s="32" t="n"/>
      <c r="L177" s="32" t="n"/>
      <c r="M177" s="18" t="n"/>
      <c r="N177" s="23">
        <f>IF($M177="","",IFERROR(VLOOKUP($M177,Recursos!$A$6:$H$105,3,FALSE),"Código no encontrado"))</f>
        <v/>
      </c>
      <c r="O177" s="24">
        <f>IF($M177="","",IFERROR(VLOOKUP($M177,Recursos!$A$6:$H$105,2,FALSE),""))</f>
        <v/>
      </c>
      <c r="P177" s="25" t="n"/>
      <c r="Q177" s="24">
        <f>IF($M177="","",IFERROR(VLOOKUP($M177,Recursos!$A$6:$H$105,5,FALSE),""))</f>
        <v/>
      </c>
      <c r="R177" s="26">
        <f>IF($M177="","",IFERROR(VLOOKUP($M177,Recursos!$A$6:$H$105,4,FALSE),""))</f>
        <v/>
      </c>
      <c r="S177" s="27">
        <f>IF($M177="","",IFERROR(VLOOKUP($M177,Recursos!$A$6:$H$105,6,FALSE),""))</f>
        <v/>
      </c>
      <c r="T177" s="27">
        <f>IF(OR($P177="",$S177=""),"",ROUND($P177*$S177,2))</f>
        <v/>
      </c>
      <c r="U177" s="18" t="n"/>
      <c r="V177" s="18" t="n"/>
      <c r="W177" s="18" t="n"/>
      <c r="X177" s="25" t="n"/>
      <c r="Y177" s="25" t="n"/>
      <c r="Z177" s="32" t="n"/>
      <c r="AA177" s="32" t="n"/>
      <c r="AB177" s="18" t="n"/>
      <c r="AC177" s="20" t="n"/>
      <c r="AD177" s="26">
        <f>IF($P177="","",MAX(0,$P177-N($X177)))</f>
        <v/>
      </c>
      <c r="AE177" s="23">
        <f>IF($A177="","",IF($M177="","Falta recurso",IF(IFERROR(VLOOKUP($M177,Recursos!$A$6:$H$105,7,FALSE),"No")&lt;&gt;"Sí","Recurso no activo",IF(OR($B177="",$H177="",$L177=""),"Faltan fecha u horarios",IF(OR($G177&gt;$H177,$H177&gt;$I177,$I177&gt;$J177,$J177&gt;$K177,$K177&gt;$L177),"Revisar secuencia horaria",IF(SUMPRODUCT(($B$6:$B$205=$B177)*($M$6:$M$205=$M177)*($H$6:$H$205&lt;$L177)*($L$6:$L$205&gt;$H177)*N($P$6:$P$205))&gt;N($R177),"Stock insuficiente",IF(AND($U177&lt;&gt;"",SUMPRODUCT(($B$6:$B$205=$B177)*($U$6:$U$205=$U177)*($A$6:$A$205&lt;&gt;$A177)*($H$6:$H$205&lt;$L177)*($L$6:$L$205&gt;$H177))&gt;0),"Vehículo solapado",IF(AND($Z177&lt;&gt;"",$J177&lt;&gt;"",$Z177&gt;$J177),"Entrega fuera de ventana",IF(AND($W177="Devuelto",N($Y177)&lt;N($X177)),"Devolución incompleta","")))))))))</f>
        <v/>
      </c>
      <c r="AF177" s="24">
        <f>IF($A177="","",IF(OR($B177="",$C177="",$D177="",$E177="",$H177="",$I177="",$J177="",$L177="",$M177="",$P177="",$U177="",$V177="",$W177=""),"Revisar",IF($AE177&lt;&gt;"","Revisar","Correcto")))</f>
        <v/>
      </c>
    </row>
    <row r="178">
      <c r="A178" s="18" t="n"/>
      <c r="B178" s="19" t="n"/>
      <c r="C178" s="20" t="n"/>
      <c r="D178" s="20" t="n"/>
      <c r="E178" s="18" t="n"/>
      <c r="F178" s="21" t="n"/>
      <c r="G178" s="32" t="n"/>
      <c r="H178" s="32" t="n"/>
      <c r="I178" s="32" t="n"/>
      <c r="J178" s="32" t="n"/>
      <c r="K178" s="32" t="n"/>
      <c r="L178" s="32" t="n"/>
      <c r="M178" s="18" t="n"/>
      <c r="N178" s="23">
        <f>IF($M178="","",IFERROR(VLOOKUP($M178,Recursos!$A$6:$H$105,3,FALSE),"Código no encontrado"))</f>
        <v/>
      </c>
      <c r="O178" s="24">
        <f>IF($M178="","",IFERROR(VLOOKUP($M178,Recursos!$A$6:$H$105,2,FALSE),""))</f>
        <v/>
      </c>
      <c r="P178" s="25" t="n"/>
      <c r="Q178" s="24">
        <f>IF($M178="","",IFERROR(VLOOKUP($M178,Recursos!$A$6:$H$105,5,FALSE),""))</f>
        <v/>
      </c>
      <c r="R178" s="26">
        <f>IF($M178="","",IFERROR(VLOOKUP($M178,Recursos!$A$6:$H$105,4,FALSE),""))</f>
        <v/>
      </c>
      <c r="S178" s="27">
        <f>IF($M178="","",IFERROR(VLOOKUP($M178,Recursos!$A$6:$H$105,6,FALSE),""))</f>
        <v/>
      </c>
      <c r="T178" s="27">
        <f>IF(OR($P178="",$S178=""),"",ROUND($P178*$S178,2))</f>
        <v/>
      </c>
      <c r="U178" s="18" t="n"/>
      <c r="V178" s="18" t="n"/>
      <c r="W178" s="18" t="n"/>
      <c r="X178" s="25" t="n"/>
      <c r="Y178" s="25" t="n"/>
      <c r="Z178" s="32" t="n"/>
      <c r="AA178" s="32" t="n"/>
      <c r="AB178" s="18" t="n"/>
      <c r="AC178" s="20" t="n"/>
      <c r="AD178" s="26">
        <f>IF($P178="","",MAX(0,$P178-N($X178)))</f>
        <v/>
      </c>
      <c r="AE178" s="23">
        <f>IF($A178="","",IF($M178="","Falta recurso",IF(IFERROR(VLOOKUP($M178,Recursos!$A$6:$H$105,7,FALSE),"No")&lt;&gt;"Sí","Recurso no activo",IF(OR($B178="",$H178="",$L178=""),"Faltan fecha u horarios",IF(OR($G178&gt;$H178,$H178&gt;$I178,$I178&gt;$J178,$J178&gt;$K178,$K178&gt;$L178),"Revisar secuencia horaria",IF(SUMPRODUCT(($B$6:$B$205=$B178)*($M$6:$M$205=$M178)*($H$6:$H$205&lt;$L178)*($L$6:$L$205&gt;$H178)*N($P$6:$P$205))&gt;N($R178),"Stock insuficiente",IF(AND($U178&lt;&gt;"",SUMPRODUCT(($B$6:$B$205=$B178)*($U$6:$U$205=$U178)*($A$6:$A$205&lt;&gt;$A178)*($H$6:$H$205&lt;$L178)*($L$6:$L$205&gt;$H178))&gt;0),"Vehículo solapado",IF(AND($Z178&lt;&gt;"",$J178&lt;&gt;"",$Z178&gt;$J178),"Entrega fuera de ventana",IF(AND($W178="Devuelto",N($Y178)&lt;N($X178)),"Devolución incompleta","")))))))))</f>
        <v/>
      </c>
      <c r="AF178" s="24">
        <f>IF($A178="","",IF(OR($B178="",$C178="",$D178="",$E178="",$H178="",$I178="",$J178="",$L178="",$M178="",$P178="",$U178="",$V178="",$W178=""),"Revisar",IF($AE178&lt;&gt;"","Revisar","Correcto")))</f>
        <v/>
      </c>
    </row>
    <row r="179">
      <c r="A179" s="18" t="n"/>
      <c r="B179" s="19" t="n"/>
      <c r="C179" s="20" t="n"/>
      <c r="D179" s="20" t="n"/>
      <c r="E179" s="18" t="n"/>
      <c r="F179" s="21" t="n"/>
      <c r="G179" s="32" t="n"/>
      <c r="H179" s="32" t="n"/>
      <c r="I179" s="32" t="n"/>
      <c r="J179" s="32" t="n"/>
      <c r="K179" s="32" t="n"/>
      <c r="L179" s="32" t="n"/>
      <c r="M179" s="18" t="n"/>
      <c r="N179" s="23">
        <f>IF($M179="","",IFERROR(VLOOKUP($M179,Recursos!$A$6:$H$105,3,FALSE),"Código no encontrado"))</f>
        <v/>
      </c>
      <c r="O179" s="24">
        <f>IF($M179="","",IFERROR(VLOOKUP($M179,Recursos!$A$6:$H$105,2,FALSE),""))</f>
        <v/>
      </c>
      <c r="P179" s="25" t="n"/>
      <c r="Q179" s="24">
        <f>IF($M179="","",IFERROR(VLOOKUP($M179,Recursos!$A$6:$H$105,5,FALSE),""))</f>
        <v/>
      </c>
      <c r="R179" s="26">
        <f>IF($M179="","",IFERROR(VLOOKUP($M179,Recursos!$A$6:$H$105,4,FALSE),""))</f>
        <v/>
      </c>
      <c r="S179" s="27">
        <f>IF($M179="","",IFERROR(VLOOKUP($M179,Recursos!$A$6:$H$105,6,FALSE),""))</f>
        <v/>
      </c>
      <c r="T179" s="27">
        <f>IF(OR($P179="",$S179=""),"",ROUND($P179*$S179,2))</f>
        <v/>
      </c>
      <c r="U179" s="18" t="n"/>
      <c r="V179" s="18" t="n"/>
      <c r="W179" s="18" t="n"/>
      <c r="X179" s="25" t="n"/>
      <c r="Y179" s="25" t="n"/>
      <c r="Z179" s="32" t="n"/>
      <c r="AA179" s="32" t="n"/>
      <c r="AB179" s="18" t="n"/>
      <c r="AC179" s="20" t="n"/>
      <c r="AD179" s="26">
        <f>IF($P179="","",MAX(0,$P179-N($X179)))</f>
        <v/>
      </c>
      <c r="AE179" s="23">
        <f>IF($A179="","",IF($M179="","Falta recurso",IF(IFERROR(VLOOKUP($M179,Recursos!$A$6:$H$105,7,FALSE),"No")&lt;&gt;"Sí","Recurso no activo",IF(OR($B179="",$H179="",$L179=""),"Faltan fecha u horarios",IF(OR($G179&gt;$H179,$H179&gt;$I179,$I179&gt;$J179,$J179&gt;$K179,$K179&gt;$L179),"Revisar secuencia horaria",IF(SUMPRODUCT(($B$6:$B$205=$B179)*($M$6:$M$205=$M179)*($H$6:$H$205&lt;$L179)*($L$6:$L$205&gt;$H179)*N($P$6:$P$205))&gt;N($R179),"Stock insuficiente",IF(AND($U179&lt;&gt;"",SUMPRODUCT(($B$6:$B$205=$B179)*($U$6:$U$205=$U179)*($A$6:$A$205&lt;&gt;$A179)*($H$6:$H$205&lt;$L179)*($L$6:$L$205&gt;$H179))&gt;0),"Vehículo solapado",IF(AND($Z179&lt;&gt;"",$J179&lt;&gt;"",$Z179&gt;$J179),"Entrega fuera de ventana",IF(AND($W179="Devuelto",N($Y179)&lt;N($X179)),"Devolución incompleta","")))))))))</f>
        <v/>
      </c>
      <c r="AF179" s="24">
        <f>IF($A179="","",IF(OR($B179="",$C179="",$D179="",$E179="",$H179="",$I179="",$J179="",$L179="",$M179="",$P179="",$U179="",$V179="",$W179=""),"Revisar",IF($AE179&lt;&gt;"","Revisar","Correcto")))</f>
        <v/>
      </c>
    </row>
    <row r="180">
      <c r="A180" s="18" t="n"/>
      <c r="B180" s="19" t="n"/>
      <c r="C180" s="20" t="n"/>
      <c r="D180" s="20" t="n"/>
      <c r="E180" s="18" t="n"/>
      <c r="F180" s="21" t="n"/>
      <c r="G180" s="32" t="n"/>
      <c r="H180" s="32" t="n"/>
      <c r="I180" s="32" t="n"/>
      <c r="J180" s="32" t="n"/>
      <c r="K180" s="32" t="n"/>
      <c r="L180" s="32" t="n"/>
      <c r="M180" s="18" t="n"/>
      <c r="N180" s="23">
        <f>IF($M180="","",IFERROR(VLOOKUP($M180,Recursos!$A$6:$H$105,3,FALSE),"Código no encontrado"))</f>
        <v/>
      </c>
      <c r="O180" s="24">
        <f>IF($M180="","",IFERROR(VLOOKUP($M180,Recursos!$A$6:$H$105,2,FALSE),""))</f>
        <v/>
      </c>
      <c r="P180" s="25" t="n"/>
      <c r="Q180" s="24">
        <f>IF($M180="","",IFERROR(VLOOKUP($M180,Recursos!$A$6:$H$105,5,FALSE),""))</f>
        <v/>
      </c>
      <c r="R180" s="26">
        <f>IF($M180="","",IFERROR(VLOOKUP($M180,Recursos!$A$6:$H$105,4,FALSE),""))</f>
        <v/>
      </c>
      <c r="S180" s="27">
        <f>IF($M180="","",IFERROR(VLOOKUP($M180,Recursos!$A$6:$H$105,6,FALSE),""))</f>
        <v/>
      </c>
      <c r="T180" s="27">
        <f>IF(OR($P180="",$S180=""),"",ROUND($P180*$S180,2))</f>
        <v/>
      </c>
      <c r="U180" s="18" t="n"/>
      <c r="V180" s="18" t="n"/>
      <c r="W180" s="18" t="n"/>
      <c r="X180" s="25" t="n"/>
      <c r="Y180" s="25" t="n"/>
      <c r="Z180" s="32" t="n"/>
      <c r="AA180" s="32" t="n"/>
      <c r="AB180" s="18" t="n"/>
      <c r="AC180" s="20" t="n"/>
      <c r="AD180" s="26">
        <f>IF($P180="","",MAX(0,$P180-N($X180)))</f>
        <v/>
      </c>
      <c r="AE180" s="23">
        <f>IF($A180="","",IF($M180="","Falta recurso",IF(IFERROR(VLOOKUP($M180,Recursos!$A$6:$H$105,7,FALSE),"No")&lt;&gt;"Sí","Recurso no activo",IF(OR($B180="",$H180="",$L180=""),"Faltan fecha u horarios",IF(OR($G180&gt;$H180,$H180&gt;$I180,$I180&gt;$J180,$J180&gt;$K180,$K180&gt;$L180),"Revisar secuencia horaria",IF(SUMPRODUCT(($B$6:$B$205=$B180)*($M$6:$M$205=$M180)*($H$6:$H$205&lt;$L180)*($L$6:$L$205&gt;$H180)*N($P$6:$P$205))&gt;N($R180),"Stock insuficiente",IF(AND($U180&lt;&gt;"",SUMPRODUCT(($B$6:$B$205=$B180)*($U$6:$U$205=$U180)*($A$6:$A$205&lt;&gt;$A180)*($H$6:$H$205&lt;$L180)*($L$6:$L$205&gt;$H180))&gt;0),"Vehículo solapado",IF(AND($Z180&lt;&gt;"",$J180&lt;&gt;"",$Z180&gt;$J180),"Entrega fuera de ventana",IF(AND($W180="Devuelto",N($Y180)&lt;N($X180)),"Devolución incompleta","")))))))))</f>
        <v/>
      </c>
      <c r="AF180" s="24">
        <f>IF($A180="","",IF(OR($B180="",$C180="",$D180="",$E180="",$H180="",$I180="",$J180="",$L180="",$M180="",$P180="",$U180="",$V180="",$W180=""),"Revisar",IF($AE180&lt;&gt;"","Revisar","Correcto")))</f>
        <v/>
      </c>
    </row>
    <row r="181">
      <c r="A181" s="18" t="n"/>
      <c r="B181" s="19" t="n"/>
      <c r="C181" s="20" t="n"/>
      <c r="D181" s="20" t="n"/>
      <c r="E181" s="18" t="n"/>
      <c r="F181" s="21" t="n"/>
      <c r="G181" s="32" t="n"/>
      <c r="H181" s="32" t="n"/>
      <c r="I181" s="32" t="n"/>
      <c r="J181" s="32" t="n"/>
      <c r="K181" s="32" t="n"/>
      <c r="L181" s="32" t="n"/>
      <c r="M181" s="18" t="n"/>
      <c r="N181" s="23">
        <f>IF($M181="","",IFERROR(VLOOKUP($M181,Recursos!$A$6:$H$105,3,FALSE),"Código no encontrado"))</f>
        <v/>
      </c>
      <c r="O181" s="24">
        <f>IF($M181="","",IFERROR(VLOOKUP($M181,Recursos!$A$6:$H$105,2,FALSE),""))</f>
        <v/>
      </c>
      <c r="P181" s="25" t="n"/>
      <c r="Q181" s="24">
        <f>IF($M181="","",IFERROR(VLOOKUP($M181,Recursos!$A$6:$H$105,5,FALSE),""))</f>
        <v/>
      </c>
      <c r="R181" s="26">
        <f>IF($M181="","",IFERROR(VLOOKUP($M181,Recursos!$A$6:$H$105,4,FALSE),""))</f>
        <v/>
      </c>
      <c r="S181" s="27">
        <f>IF($M181="","",IFERROR(VLOOKUP($M181,Recursos!$A$6:$H$105,6,FALSE),""))</f>
        <v/>
      </c>
      <c r="T181" s="27">
        <f>IF(OR($P181="",$S181=""),"",ROUND($P181*$S181,2))</f>
        <v/>
      </c>
      <c r="U181" s="18" t="n"/>
      <c r="V181" s="18" t="n"/>
      <c r="W181" s="18" t="n"/>
      <c r="X181" s="25" t="n"/>
      <c r="Y181" s="25" t="n"/>
      <c r="Z181" s="32" t="n"/>
      <c r="AA181" s="32" t="n"/>
      <c r="AB181" s="18" t="n"/>
      <c r="AC181" s="20" t="n"/>
      <c r="AD181" s="26">
        <f>IF($P181="","",MAX(0,$P181-N($X181)))</f>
        <v/>
      </c>
      <c r="AE181" s="23">
        <f>IF($A181="","",IF($M181="","Falta recurso",IF(IFERROR(VLOOKUP($M181,Recursos!$A$6:$H$105,7,FALSE),"No")&lt;&gt;"Sí","Recurso no activo",IF(OR($B181="",$H181="",$L181=""),"Faltan fecha u horarios",IF(OR($G181&gt;$H181,$H181&gt;$I181,$I181&gt;$J181,$J181&gt;$K181,$K181&gt;$L181),"Revisar secuencia horaria",IF(SUMPRODUCT(($B$6:$B$205=$B181)*($M$6:$M$205=$M181)*($H$6:$H$205&lt;$L181)*($L$6:$L$205&gt;$H181)*N($P$6:$P$205))&gt;N($R181),"Stock insuficiente",IF(AND($U181&lt;&gt;"",SUMPRODUCT(($B$6:$B$205=$B181)*($U$6:$U$205=$U181)*($A$6:$A$205&lt;&gt;$A181)*($H$6:$H$205&lt;$L181)*($L$6:$L$205&gt;$H181))&gt;0),"Vehículo solapado",IF(AND($Z181&lt;&gt;"",$J181&lt;&gt;"",$Z181&gt;$J181),"Entrega fuera de ventana",IF(AND($W181="Devuelto",N($Y181)&lt;N($X181)),"Devolución incompleta","")))))))))</f>
        <v/>
      </c>
      <c r="AF181" s="24">
        <f>IF($A181="","",IF(OR($B181="",$C181="",$D181="",$E181="",$H181="",$I181="",$J181="",$L181="",$M181="",$P181="",$U181="",$V181="",$W181=""),"Revisar",IF($AE181&lt;&gt;"","Revisar","Correcto")))</f>
        <v/>
      </c>
    </row>
    <row r="182">
      <c r="A182" s="18" t="n"/>
      <c r="B182" s="19" t="n"/>
      <c r="C182" s="20" t="n"/>
      <c r="D182" s="20" t="n"/>
      <c r="E182" s="18" t="n"/>
      <c r="F182" s="21" t="n"/>
      <c r="G182" s="32" t="n"/>
      <c r="H182" s="32" t="n"/>
      <c r="I182" s="32" t="n"/>
      <c r="J182" s="32" t="n"/>
      <c r="K182" s="32" t="n"/>
      <c r="L182" s="32" t="n"/>
      <c r="M182" s="18" t="n"/>
      <c r="N182" s="23">
        <f>IF($M182="","",IFERROR(VLOOKUP($M182,Recursos!$A$6:$H$105,3,FALSE),"Código no encontrado"))</f>
        <v/>
      </c>
      <c r="O182" s="24">
        <f>IF($M182="","",IFERROR(VLOOKUP($M182,Recursos!$A$6:$H$105,2,FALSE),""))</f>
        <v/>
      </c>
      <c r="P182" s="25" t="n"/>
      <c r="Q182" s="24">
        <f>IF($M182="","",IFERROR(VLOOKUP($M182,Recursos!$A$6:$H$105,5,FALSE),""))</f>
        <v/>
      </c>
      <c r="R182" s="26">
        <f>IF($M182="","",IFERROR(VLOOKUP($M182,Recursos!$A$6:$H$105,4,FALSE),""))</f>
        <v/>
      </c>
      <c r="S182" s="27">
        <f>IF($M182="","",IFERROR(VLOOKUP($M182,Recursos!$A$6:$H$105,6,FALSE),""))</f>
        <v/>
      </c>
      <c r="T182" s="27">
        <f>IF(OR($P182="",$S182=""),"",ROUND($P182*$S182,2))</f>
        <v/>
      </c>
      <c r="U182" s="18" t="n"/>
      <c r="V182" s="18" t="n"/>
      <c r="W182" s="18" t="n"/>
      <c r="X182" s="25" t="n"/>
      <c r="Y182" s="25" t="n"/>
      <c r="Z182" s="32" t="n"/>
      <c r="AA182" s="32" t="n"/>
      <c r="AB182" s="18" t="n"/>
      <c r="AC182" s="20" t="n"/>
      <c r="AD182" s="26">
        <f>IF($P182="","",MAX(0,$P182-N($X182)))</f>
        <v/>
      </c>
      <c r="AE182" s="23">
        <f>IF($A182="","",IF($M182="","Falta recurso",IF(IFERROR(VLOOKUP($M182,Recursos!$A$6:$H$105,7,FALSE),"No")&lt;&gt;"Sí","Recurso no activo",IF(OR($B182="",$H182="",$L182=""),"Faltan fecha u horarios",IF(OR($G182&gt;$H182,$H182&gt;$I182,$I182&gt;$J182,$J182&gt;$K182,$K182&gt;$L182),"Revisar secuencia horaria",IF(SUMPRODUCT(($B$6:$B$205=$B182)*($M$6:$M$205=$M182)*($H$6:$H$205&lt;$L182)*($L$6:$L$205&gt;$H182)*N($P$6:$P$205))&gt;N($R182),"Stock insuficiente",IF(AND($U182&lt;&gt;"",SUMPRODUCT(($B$6:$B$205=$B182)*($U$6:$U$205=$U182)*($A$6:$A$205&lt;&gt;$A182)*($H$6:$H$205&lt;$L182)*($L$6:$L$205&gt;$H182))&gt;0),"Vehículo solapado",IF(AND($Z182&lt;&gt;"",$J182&lt;&gt;"",$Z182&gt;$J182),"Entrega fuera de ventana",IF(AND($W182="Devuelto",N($Y182)&lt;N($X182)),"Devolución incompleta","")))))))))</f>
        <v/>
      </c>
      <c r="AF182" s="24">
        <f>IF($A182="","",IF(OR($B182="",$C182="",$D182="",$E182="",$H182="",$I182="",$J182="",$L182="",$M182="",$P182="",$U182="",$V182="",$W182=""),"Revisar",IF($AE182&lt;&gt;"","Revisar","Correcto")))</f>
        <v/>
      </c>
    </row>
    <row r="183">
      <c r="A183" s="18" t="n"/>
      <c r="B183" s="19" t="n"/>
      <c r="C183" s="20" t="n"/>
      <c r="D183" s="20" t="n"/>
      <c r="E183" s="18" t="n"/>
      <c r="F183" s="21" t="n"/>
      <c r="G183" s="32" t="n"/>
      <c r="H183" s="32" t="n"/>
      <c r="I183" s="32" t="n"/>
      <c r="J183" s="32" t="n"/>
      <c r="K183" s="32" t="n"/>
      <c r="L183" s="32" t="n"/>
      <c r="M183" s="18" t="n"/>
      <c r="N183" s="23">
        <f>IF($M183="","",IFERROR(VLOOKUP($M183,Recursos!$A$6:$H$105,3,FALSE),"Código no encontrado"))</f>
        <v/>
      </c>
      <c r="O183" s="24">
        <f>IF($M183="","",IFERROR(VLOOKUP($M183,Recursos!$A$6:$H$105,2,FALSE),""))</f>
        <v/>
      </c>
      <c r="P183" s="25" t="n"/>
      <c r="Q183" s="24">
        <f>IF($M183="","",IFERROR(VLOOKUP($M183,Recursos!$A$6:$H$105,5,FALSE),""))</f>
        <v/>
      </c>
      <c r="R183" s="26">
        <f>IF($M183="","",IFERROR(VLOOKUP($M183,Recursos!$A$6:$H$105,4,FALSE),""))</f>
        <v/>
      </c>
      <c r="S183" s="27">
        <f>IF($M183="","",IFERROR(VLOOKUP($M183,Recursos!$A$6:$H$105,6,FALSE),""))</f>
        <v/>
      </c>
      <c r="T183" s="27">
        <f>IF(OR($P183="",$S183=""),"",ROUND($P183*$S183,2))</f>
        <v/>
      </c>
      <c r="U183" s="18" t="n"/>
      <c r="V183" s="18" t="n"/>
      <c r="W183" s="18" t="n"/>
      <c r="X183" s="25" t="n"/>
      <c r="Y183" s="25" t="n"/>
      <c r="Z183" s="32" t="n"/>
      <c r="AA183" s="32" t="n"/>
      <c r="AB183" s="18" t="n"/>
      <c r="AC183" s="20" t="n"/>
      <c r="AD183" s="26">
        <f>IF($P183="","",MAX(0,$P183-N($X183)))</f>
        <v/>
      </c>
      <c r="AE183" s="23">
        <f>IF($A183="","",IF($M183="","Falta recurso",IF(IFERROR(VLOOKUP($M183,Recursos!$A$6:$H$105,7,FALSE),"No")&lt;&gt;"Sí","Recurso no activo",IF(OR($B183="",$H183="",$L183=""),"Faltan fecha u horarios",IF(OR($G183&gt;$H183,$H183&gt;$I183,$I183&gt;$J183,$J183&gt;$K183,$K183&gt;$L183),"Revisar secuencia horaria",IF(SUMPRODUCT(($B$6:$B$205=$B183)*($M$6:$M$205=$M183)*($H$6:$H$205&lt;$L183)*($L$6:$L$205&gt;$H183)*N($P$6:$P$205))&gt;N($R183),"Stock insuficiente",IF(AND($U183&lt;&gt;"",SUMPRODUCT(($B$6:$B$205=$B183)*($U$6:$U$205=$U183)*($A$6:$A$205&lt;&gt;$A183)*($H$6:$H$205&lt;$L183)*($L$6:$L$205&gt;$H183))&gt;0),"Vehículo solapado",IF(AND($Z183&lt;&gt;"",$J183&lt;&gt;"",$Z183&gt;$J183),"Entrega fuera de ventana",IF(AND($W183="Devuelto",N($Y183)&lt;N($X183)),"Devolución incompleta","")))))))))</f>
        <v/>
      </c>
      <c r="AF183" s="24">
        <f>IF($A183="","",IF(OR($B183="",$C183="",$D183="",$E183="",$H183="",$I183="",$J183="",$L183="",$M183="",$P183="",$U183="",$V183="",$W183=""),"Revisar",IF($AE183&lt;&gt;"","Revisar","Correcto")))</f>
        <v/>
      </c>
    </row>
    <row r="184">
      <c r="A184" s="18" t="n"/>
      <c r="B184" s="19" t="n"/>
      <c r="C184" s="20" t="n"/>
      <c r="D184" s="20" t="n"/>
      <c r="E184" s="18" t="n"/>
      <c r="F184" s="21" t="n"/>
      <c r="G184" s="32" t="n"/>
      <c r="H184" s="32" t="n"/>
      <c r="I184" s="32" t="n"/>
      <c r="J184" s="32" t="n"/>
      <c r="K184" s="32" t="n"/>
      <c r="L184" s="32" t="n"/>
      <c r="M184" s="18" t="n"/>
      <c r="N184" s="23">
        <f>IF($M184="","",IFERROR(VLOOKUP($M184,Recursos!$A$6:$H$105,3,FALSE),"Código no encontrado"))</f>
        <v/>
      </c>
      <c r="O184" s="24">
        <f>IF($M184="","",IFERROR(VLOOKUP($M184,Recursos!$A$6:$H$105,2,FALSE),""))</f>
        <v/>
      </c>
      <c r="P184" s="25" t="n"/>
      <c r="Q184" s="24">
        <f>IF($M184="","",IFERROR(VLOOKUP($M184,Recursos!$A$6:$H$105,5,FALSE),""))</f>
        <v/>
      </c>
      <c r="R184" s="26">
        <f>IF($M184="","",IFERROR(VLOOKUP($M184,Recursos!$A$6:$H$105,4,FALSE),""))</f>
        <v/>
      </c>
      <c r="S184" s="27">
        <f>IF($M184="","",IFERROR(VLOOKUP($M184,Recursos!$A$6:$H$105,6,FALSE),""))</f>
        <v/>
      </c>
      <c r="T184" s="27">
        <f>IF(OR($P184="",$S184=""),"",ROUND($P184*$S184,2))</f>
        <v/>
      </c>
      <c r="U184" s="18" t="n"/>
      <c r="V184" s="18" t="n"/>
      <c r="W184" s="18" t="n"/>
      <c r="X184" s="25" t="n"/>
      <c r="Y184" s="25" t="n"/>
      <c r="Z184" s="32" t="n"/>
      <c r="AA184" s="32" t="n"/>
      <c r="AB184" s="18" t="n"/>
      <c r="AC184" s="20" t="n"/>
      <c r="AD184" s="26">
        <f>IF($P184="","",MAX(0,$P184-N($X184)))</f>
        <v/>
      </c>
      <c r="AE184" s="23">
        <f>IF($A184="","",IF($M184="","Falta recurso",IF(IFERROR(VLOOKUP($M184,Recursos!$A$6:$H$105,7,FALSE),"No")&lt;&gt;"Sí","Recurso no activo",IF(OR($B184="",$H184="",$L184=""),"Faltan fecha u horarios",IF(OR($G184&gt;$H184,$H184&gt;$I184,$I184&gt;$J184,$J184&gt;$K184,$K184&gt;$L184),"Revisar secuencia horaria",IF(SUMPRODUCT(($B$6:$B$205=$B184)*($M$6:$M$205=$M184)*($H$6:$H$205&lt;$L184)*($L$6:$L$205&gt;$H184)*N($P$6:$P$205))&gt;N($R184),"Stock insuficiente",IF(AND($U184&lt;&gt;"",SUMPRODUCT(($B$6:$B$205=$B184)*($U$6:$U$205=$U184)*($A$6:$A$205&lt;&gt;$A184)*($H$6:$H$205&lt;$L184)*($L$6:$L$205&gt;$H184))&gt;0),"Vehículo solapado",IF(AND($Z184&lt;&gt;"",$J184&lt;&gt;"",$Z184&gt;$J184),"Entrega fuera de ventana",IF(AND($W184="Devuelto",N($Y184)&lt;N($X184)),"Devolución incompleta","")))))))))</f>
        <v/>
      </c>
      <c r="AF184" s="24">
        <f>IF($A184="","",IF(OR($B184="",$C184="",$D184="",$E184="",$H184="",$I184="",$J184="",$L184="",$M184="",$P184="",$U184="",$V184="",$W184=""),"Revisar",IF($AE184&lt;&gt;"","Revisar","Correcto")))</f>
        <v/>
      </c>
    </row>
    <row r="185">
      <c r="A185" s="18" t="n"/>
      <c r="B185" s="19" t="n"/>
      <c r="C185" s="20" t="n"/>
      <c r="D185" s="20" t="n"/>
      <c r="E185" s="18" t="n"/>
      <c r="F185" s="21" t="n"/>
      <c r="G185" s="32" t="n"/>
      <c r="H185" s="32" t="n"/>
      <c r="I185" s="32" t="n"/>
      <c r="J185" s="32" t="n"/>
      <c r="K185" s="32" t="n"/>
      <c r="L185" s="32" t="n"/>
      <c r="M185" s="18" t="n"/>
      <c r="N185" s="23">
        <f>IF($M185="","",IFERROR(VLOOKUP($M185,Recursos!$A$6:$H$105,3,FALSE),"Código no encontrado"))</f>
        <v/>
      </c>
      <c r="O185" s="24">
        <f>IF($M185="","",IFERROR(VLOOKUP($M185,Recursos!$A$6:$H$105,2,FALSE),""))</f>
        <v/>
      </c>
      <c r="P185" s="25" t="n"/>
      <c r="Q185" s="24">
        <f>IF($M185="","",IFERROR(VLOOKUP($M185,Recursos!$A$6:$H$105,5,FALSE),""))</f>
        <v/>
      </c>
      <c r="R185" s="26">
        <f>IF($M185="","",IFERROR(VLOOKUP($M185,Recursos!$A$6:$H$105,4,FALSE),""))</f>
        <v/>
      </c>
      <c r="S185" s="27">
        <f>IF($M185="","",IFERROR(VLOOKUP($M185,Recursos!$A$6:$H$105,6,FALSE),""))</f>
        <v/>
      </c>
      <c r="T185" s="27">
        <f>IF(OR($P185="",$S185=""),"",ROUND($P185*$S185,2))</f>
        <v/>
      </c>
      <c r="U185" s="18" t="n"/>
      <c r="V185" s="18" t="n"/>
      <c r="W185" s="18" t="n"/>
      <c r="X185" s="25" t="n"/>
      <c r="Y185" s="25" t="n"/>
      <c r="Z185" s="32" t="n"/>
      <c r="AA185" s="32" t="n"/>
      <c r="AB185" s="18" t="n"/>
      <c r="AC185" s="20" t="n"/>
      <c r="AD185" s="26">
        <f>IF($P185="","",MAX(0,$P185-N($X185)))</f>
        <v/>
      </c>
      <c r="AE185" s="23">
        <f>IF($A185="","",IF($M185="","Falta recurso",IF(IFERROR(VLOOKUP($M185,Recursos!$A$6:$H$105,7,FALSE),"No")&lt;&gt;"Sí","Recurso no activo",IF(OR($B185="",$H185="",$L185=""),"Faltan fecha u horarios",IF(OR($G185&gt;$H185,$H185&gt;$I185,$I185&gt;$J185,$J185&gt;$K185,$K185&gt;$L185),"Revisar secuencia horaria",IF(SUMPRODUCT(($B$6:$B$205=$B185)*($M$6:$M$205=$M185)*($H$6:$H$205&lt;$L185)*($L$6:$L$205&gt;$H185)*N($P$6:$P$205))&gt;N($R185),"Stock insuficiente",IF(AND($U185&lt;&gt;"",SUMPRODUCT(($B$6:$B$205=$B185)*($U$6:$U$205=$U185)*($A$6:$A$205&lt;&gt;$A185)*($H$6:$H$205&lt;$L185)*($L$6:$L$205&gt;$H185))&gt;0),"Vehículo solapado",IF(AND($Z185&lt;&gt;"",$J185&lt;&gt;"",$Z185&gt;$J185),"Entrega fuera de ventana",IF(AND($W185="Devuelto",N($Y185)&lt;N($X185)),"Devolución incompleta","")))))))))</f>
        <v/>
      </c>
      <c r="AF185" s="24">
        <f>IF($A185="","",IF(OR($B185="",$C185="",$D185="",$E185="",$H185="",$I185="",$J185="",$L185="",$M185="",$P185="",$U185="",$V185="",$W185=""),"Revisar",IF($AE185&lt;&gt;"","Revisar","Correcto")))</f>
        <v/>
      </c>
    </row>
    <row r="186">
      <c r="A186" s="18" t="n"/>
      <c r="B186" s="19" t="n"/>
      <c r="C186" s="20" t="n"/>
      <c r="D186" s="20" t="n"/>
      <c r="E186" s="18" t="n"/>
      <c r="F186" s="21" t="n"/>
      <c r="G186" s="32" t="n"/>
      <c r="H186" s="32" t="n"/>
      <c r="I186" s="32" t="n"/>
      <c r="J186" s="32" t="n"/>
      <c r="K186" s="32" t="n"/>
      <c r="L186" s="32" t="n"/>
      <c r="M186" s="18" t="n"/>
      <c r="N186" s="23">
        <f>IF($M186="","",IFERROR(VLOOKUP($M186,Recursos!$A$6:$H$105,3,FALSE),"Código no encontrado"))</f>
        <v/>
      </c>
      <c r="O186" s="24">
        <f>IF($M186="","",IFERROR(VLOOKUP($M186,Recursos!$A$6:$H$105,2,FALSE),""))</f>
        <v/>
      </c>
      <c r="P186" s="25" t="n"/>
      <c r="Q186" s="24">
        <f>IF($M186="","",IFERROR(VLOOKUP($M186,Recursos!$A$6:$H$105,5,FALSE),""))</f>
        <v/>
      </c>
      <c r="R186" s="26">
        <f>IF($M186="","",IFERROR(VLOOKUP($M186,Recursos!$A$6:$H$105,4,FALSE),""))</f>
        <v/>
      </c>
      <c r="S186" s="27">
        <f>IF($M186="","",IFERROR(VLOOKUP($M186,Recursos!$A$6:$H$105,6,FALSE),""))</f>
        <v/>
      </c>
      <c r="T186" s="27">
        <f>IF(OR($P186="",$S186=""),"",ROUND($P186*$S186,2))</f>
        <v/>
      </c>
      <c r="U186" s="18" t="n"/>
      <c r="V186" s="18" t="n"/>
      <c r="W186" s="18" t="n"/>
      <c r="X186" s="25" t="n"/>
      <c r="Y186" s="25" t="n"/>
      <c r="Z186" s="32" t="n"/>
      <c r="AA186" s="32" t="n"/>
      <c r="AB186" s="18" t="n"/>
      <c r="AC186" s="20" t="n"/>
      <c r="AD186" s="26">
        <f>IF($P186="","",MAX(0,$P186-N($X186)))</f>
        <v/>
      </c>
      <c r="AE186" s="23">
        <f>IF($A186="","",IF($M186="","Falta recurso",IF(IFERROR(VLOOKUP($M186,Recursos!$A$6:$H$105,7,FALSE),"No")&lt;&gt;"Sí","Recurso no activo",IF(OR($B186="",$H186="",$L186=""),"Faltan fecha u horarios",IF(OR($G186&gt;$H186,$H186&gt;$I186,$I186&gt;$J186,$J186&gt;$K186,$K186&gt;$L186),"Revisar secuencia horaria",IF(SUMPRODUCT(($B$6:$B$205=$B186)*($M$6:$M$205=$M186)*($H$6:$H$205&lt;$L186)*($L$6:$L$205&gt;$H186)*N($P$6:$P$205))&gt;N($R186),"Stock insuficiente",IF(AND($U186&lt;&gt;"",SUMPRODUCT(($B$6:$B$205=$B186)*($U$6:$U$205=$U186)*($A$6:$A$205&lt;&gt;$A186)*($H$6:$H$205&lt;$L186)*($L$6:$L$205&gt;$H186))&gt;0),"Vehículo solapado",IF(AND($Z186&lt;&gt;"",$J186&lt;&gt;"",$Z186&gt;$J186),"Entrega fuera de ventana",IF(AND($W186="Devuelto",N($Y186)&lt;N($X186)),"Devolución incompleta","")))))))))</f>
        <v/>
      </c>
      <c r="AF186" s="24">
        <f>IF($A186="","",IF(OR($B186="",$C186="",$D186="",$E186="",$H186="",$I186="",$J186="",$L186="",$M186="",$P186="",$U186="",$V186="",$W186=""),"Revisar",IF($AE186&lt;&gt;"","Revisar","Correcto")))</f>
        <v/>
      </c>
    </row>
    <row r="187">
      <c r="A187" s="18" t="n"/>
      <c r="B187" s="19" t="n"/>
      <c r="C187" s="20" t="n"/>
      <c r="D187" s="20" t="n"/>
      <c r="E187" s="18" t="n"/>
      <c r="F187" s="21" t="n"/>
      <c r="G187" s="32" t="n"/>
      <c r="H187" s="32" t="n"/>
      <c r="I187" s="32" t="n"/>
      <c r="J187" s="32" t="n"/>
      <c r="K187" s="32" t="n"/>
      <c r="L187" s="32" t="n"/>
      <c r="M187" s="18" t="n"/>
      <c r="N187" s="23">
        <f>IF($M187="","",IFERROR(VLOOKUP($M187,Recursos!$A$6:$H$105,3,FALSE),"Código no encontrado"))</f>
        <v/>
      </c>
      <c r="O187" s="24">
        <f>IF($M187="","",IFERROR(VLOOKUP($M187,Recursos!$A$6:$H$105,2,FALSE),""))</f>
        <v/>
      </c>
      <c r="P187" s="25" t="n"/>
      <c r="Q187" s="24">
        <f>IF($M187="","",IFERROR(VLOOKUP($M187,Recursos!$A$6:$H$105,5,FALSE),""))</f>
        <v/>
      </c>
      <c r="R187" s="26">
        <f>IF($M187="","",IFERROR(VLOOKUP($M187,Recursos!$A$6:$H$105,4,FALSE),""))</f>
        <v/>
      </c>
      <c r="S187" s="27">
        <f>IF($M187="","",IFERROR(VLOOKUP($M187,Recursos!$A$6:$H$105,6,FALSE),""))</f>
        <v/>
      </c>
      <c r="T187" s="27">
        <f>IF(OR($P187="",$S187=""),"",ROUND($P187*$S187,2))</f>
        <v/>
      </c>
      <c r="U187" s="18" t="n"/>
      <c r="V187" s="18" t="n"/>
      <c r="W187" s="18" t="n"/>
      <c r="X187" s="25" t="n"/>
      <c r="Y187" s="25" t="n"/>
      <c r="Z187" s="32" t="n"/>
      <c r="AA187" s="32" t="n"/>
      <c r="AB187" s="18" t="n"/>
      <c r="AC187" s="20" t="n"/>
      <c r="AD187" s="26">
        <f>IF($P187="","",MAX(0,$P187-N($X187)))</f>
        <v/>
      </c>
      <c r="AE187" s="23">
        <f>IF($A187="","",IF($M187="","Falta recurso",IF(IFERROR(VLOOKUP($M187,Recursos!$A$6:$H$105,7,FALSE),"No")&lt;&gt;"Sí","Recurso no activo",IF(OR($B187="",$H187="",$L187=""),"Faltan fecha u horarios",IF(OR($G187&gt;$H187,$H187&gt;$I187,$I187&gt;$J187,$J187&gt;$K187,$K187&gt;$L187),"Revisar secuencia horaria",IF(SUMPRODUCT(($B$6:$B$205=$B187)*($M$6:$M$205=$M187)*($H$6:$H$205&lt;$L187)*($L$6:$L$205&gt;$H187)*N($P$6:$P$205))&gt;N($R187),"Stock insuficiente",IF(AND($U187&lt;&gt;"",SUMPRODUCT(($B$6:$B$205=$B187)*($U$6:$U$205=$U187)*($A$6:$A$205&lt;&gt;$A187)*($H$6:$H$205&lt;$L187)*($L$6:$L$205&gt;$H187))&gt;0),"Vehículo solapado",IF(AND($Z187&lt;&gt;"",$J187&lt;&gt;"",$Z187&gt;$J187),"Entrega fuera de ventana",IF(AND($W187="Devuelto",N($Y187)&lt;N($X187)),"Devolución incompleta","")))))))))</f>
        <v/>
      </c>
      <c r="AF187" s="24">
        <f>IF($A187="","",IF(OR($B187="",$C187="",$D187="",$E187="",$H187="",$I187="",$J187="",$L187="",$M187="",$P187="",$U187="",$V187="",$W187=""),"Revisar",IF($AE187&lt;&gt;"","Revisar","Correcto")))</f>
        <v/>
      </c>
    </row>
    <row r="188">
      <c r="A188" s="18" t="n"/>
      <c r="B188" s="19" t="n"/>
      <c r="C188" s="20" t="n"/>
      <c r="D188" s="20" t="n"/>
      <c r="E188" s="18" t="n"/>
      <c r="F188" s="21" t="n"/>
      <c r="G188" s="32" t="n"/>
      <c r="H188" s="32" t="n"/>
      <c r="I188" s="32" t="n"/>
      <c r="J188" s="32" t="n"/>
      <c r="K188" s="32" t="n"/>
      <c r="L188" s="32" t="n"/>
      <c r="M188" s="18" t="n"/>
      <c r="N188" s="23">
        <f>IF($M188="","",IFERROR(VLOOKUP($M188,Recursos!$A$6:$H$105,3,FALSE),"Código no encontrado"))</f>
        <v/>
      </c>
      <c r="O188" s="24">
        <f>IF($M188="","",IFERROR(VLOOKUP($M188,Recursos!$A$6:$H$105,2,FALSE),""))</f>
        <v/>
      </c>
      <c r="P188" s="25" t="n"/>
      <c r="Q188" s="24">
        <f>IF($M188="","",IFERROR(VLOOKUP($M188,Recursos!$A$6:$H$105,5,FALSE),""))</f>
        <v/>
      </c>
      <c r="R188" s="26">
        <f>IF($M188="","",IFERROR(VLOOKUP($M188,Recursos!$A$6:$H$105,4,FALSE),""))</f>
        <v/>
      </c>
      <c r="S188" s="27">
        <f>IF($M188="","",IFERROR(VLOOKUP($M188,Recursos!$A$6:$H$105,6,FALSE),""))</f>
        <v/>
      </c>
      <c r="T188" s="27">
        <f>IF(OR($P188="",$S188=""),"",ROUND($P188*$S188,2))</f>
        <v/>
      </c>
      <c r="U188" s="18" t="n"/>
      <c r="V188" s="18" t="n"/>
      <c r="W188" s="18" t="n"/>
      <c r="X188" s="25" t="n"/>
      <c r="Y188" s="25" t="n"/>
      <c r="Z188" s="32" t="n"/>
      <c r="AA188" s="32" t="n"/>
      <c r="AB188" s="18" t="n"/>
      <c r="AC188" s="20" t="n"/>
      <c r="AD188" s="26">
        <f>IF($P188="","",MAX(0,$P188-N($X188)))</f>
        <v/>
      </c>
      <c r="AE188" s="23">
        <f>IF($A188="","",IF($M188="","Falta recurso",IF(IFERROR(VLOOKUP($M188,Recursos!$A$6:$H$105,7,FALSE),"No")&lt;&gt;"Sí","Recurso no activo",IF(OR($B188="",$H188="",$L188=""),"Faltan fecha u horarios",IF(OR($G188&gt;$H188,$H188&gt;$I188,$I188&gt;$J188,$J188&gt;$K188,$K188&gt;$L188),"Revisar secuencia horaria",IF(SUMPRODUCT(($B$6:$B$205=$B188)*($M$6:$M$205=$M188)*($H$6:$H$205&lt;$L188)*($L$6:$L$205&gt;$H188)*N($P$6:$P$205))&gt;N($R188),"Stock insuficiente",IF(AND($U188&lt;&gt;"",SUMPRODUCT(($B$6:$B$205=$B188)*($U$6:$U$205=$U188)*($A$6:$A$205&lt;&gt;$A188)*($H$6:$H$205&lt;$L188)*($L$6:$L$205&gt;$H188))&gt;0),"Vehículo solapado",IF(AND($Z188&lt;&gt;"",$J188&lt;&gt;"",$Z188&gt;$J188),"Entrega fuera de ventana",IF(AND($W188="Devuelto",N($Y188)&lt;N($X188)),"Devolución incompleta","")))))))))</f>
        <v/>
      </c>
      <c r="AF188" s="24">
        <f>IF($A188="","",IF(OR($B188="",$C188="",$D188="",$E188="",$H188="",$I188="",$J188="",$L188="",$M188="",$P188="",$U188="",$V188="",$W188=""),"Revisar",IF($AE188&lt;&gt;"","Revisar","Correcto")))</f>
        <v/>
      </c>
    </row>
    <row r="189">
      <c r="A189" s="18" t="n"/>
      <c r="B189" s="19" t="n"/>
      <c r="C189" s="20" t="n"/>
      <c r="D189" s="20" t="n"/>
      <c r="E189" s="18" t="n"/>
      <c r="F189" s="21" t="n"/>
      <c r="G189" s="32" t="n"/>
      <c r="H189" s="32" t="n"/>
      <c r="I189" s="32" t="n"/>
      <c r="J189" s="32" t="n"/>
      <c r="K189" s="32" t="n"/>
      <c r="L189" s="32" t="n"/>
      <c r="M189" s="18" t="n"/>
      <c r="N189" s="23">
        <f>IF($M189="","",IFERROR(VLOOKUP($M189,Recursos!$A$6:$H$105,3,FALSE),"Código no encontrado"))</f>
        <v/>
      </c>
      <c r="O189" s="24">
        <f>IF($M189="","",IFERROR(VLOOKUP($M189,Recursos!$A$6:$H$105,2,FALSE),""))</f>
        <v/>
      </c>
      <c r="P189" s="25" t="n"/>
      <c r="Q189" s="24">
        <f>IF($M189="","",IFERROR(VLOOKUP($M189,Recursos!$A$6:$H$105,5,FALSE),""))</f>
        <v/>
      </c>
      <c r="R189" s="26">
        <f>IF($M189="","",IFERROR(VLOOKUP($M189,Recursos!$A$6:$H$105,4,FALSE),""))</f>
        <v/>
      </c>
      <c r="S189" s="27">
        <f>IF($M189="","",IFERROR(VLOOKUP($M189,Recursos!$A$6:$H$105,6,FALSE),""))</f>
        <v/>
      </c>
      <c r="T189" s="27">
        <f>IF(OR($P189="",$S189=""),"",ROUND($P189*$S189,2))</f>
        <v/>
      </c>
      <c r="U189" s="18" t="n"/>
      <c r="V189" s="18" t="n"/>
      <c r="W189" s="18" t="n"/>
      <c r="X189" s="25" t="n"/>
      <c r="Y189" s="25" t="n"/>
      <c r="Z189" s="32" t="n"/>
      <c r="AA189" s="32" t="n"/>
      <c r="AB189" s="18" t="n"/>
      <c r="AC189" s="20" t="n"/>
      <c r="AD189" s="26">
        <f>IF($P189="","",MAX(0,$P189-N($X189)))</f>
        <v/>
      </c>
      <c r="AE189" s="23">
        <f>IF($A189="","",IF($M189="","Falta recurso",IF(IFERROR(VLOOKUP($M189,Recursos!$A$6:$H$105,7,FALSE),"No")&lt;&gt;"Sí","Recurso no activo",IF(OR($B189="",$H189="",$L189=""),"Faltan fecha u horarios",IF(OR($G189&gt;$H189,$H189&gt;$I189,$I189&gt;$J189,$J189&gt;$K189,$K189&gt;$L189),"Revisar secuencia horaria",IF(SUMPRODUCT(($B$6:$B$205=$B189)*($M$6:$M$205=$M189)*($H$6:$H$205&lt;$L189)*($L$6:$L$205&gt;$H189)*N($P$6:$P$205))&gt;N($R189),"Stock insuficiente",IF(AND($U189&lt;&gt;"",SUMPRODUCT(($B$6:$B$205=$B189)*($U$6:$U$205=$U189)*($A$6:$A$205&lt;&gt;$A189)*($H$6:$H$205&lt;$L189)*($L$6:$L$205&gt;$H189))&gt;0),"Vehículo solapado",IF(AND($Z189&lt;&gt;"",$J189&lt;&gt;"",$Z189&gt;$J189),"Entrega fuera de ventana",IF(AND($W189="Devuelto",N($Y189)&lt;N($X189)),"Devolución incompleta","")))))))))</f>
        <v/>
      </c>
      <c r="AF189" s="24">
        <f>IF($A189="","",IF(OR($B189="",$C189="",$D189="",$E189="",$H189="",$I189="",$J189="",$L189="",$M189="",$P189="",$U189="",$V189="",$W189=""),"Revisar",IF($AE189&lt;&gt;"","Revisar","Correcto")))</f>
        <v/>
      </c>
    </row>
    <row r="190">
      <c r="A190" s="18" t="n"/>
      <c r="B190" s="19" t="n"/>
      <c r="C190" s="20" t="n"/>
      <c r="D190" s="20" t="n"/>
      <c r="E190" s="18" t="n"/>
      <c r="F190" s="21" t="n"/>
      <c r="G190" s="32" t="n"/>
      <c r="H190" s="32" t="n"/>
      <c r="I190" s="32" t="n"/>
      <c r="J190" s="32" t="n"/>
      <c r="K190" s="32" t="n"/>
      <c r="L190" s="32" t="n"/>
      <c r="M190" s="18" t="n"/>
      <c r="N190" s="23">
        <f>IF($M190="","",IFERROR(VLOOKUP($M190,Recursos!$A$6:$H$105,3,FALSE),"Código no encontrado"))</f>
        <v/>
      </c>
      <c r="O190" s="24">
        <f>IF($M190="","",IFERROR(VLOOKUP($M190,Recursos!$A$6:$H$105,2,FALSE),""))</f>
        <v/>
      </c>
      <c r="P190" s="25" t="n"/>
      <c r="Q190" s="24">
        <f>IF($M190="","",IFERROR(VLOOKUP($M190,Recursos!$A$6:$H$105,5,FALSE),""))</f>
        <v/>
      </c>
      <c r="R190" s="26">
        <f>IF($M190="","",IFERROR(VLOOKUP($M190,Recursos!$A$6:$H$105,4,FALSE),""))</f>
        <v/>
      </c>
      <c r="S190" s="27">
        <f>IF($M190="","",IFERROR(VLOOKUP($M190,Recursos!$A$6:$H$105,6,FALSE),""))</f>
        <v/>
      </c>
      <c r="T190" s="27">
        <f>IF(OR($P190="",$S190=""),"",ROUND($P190*$S190,2))</f>
        <v/>
      </c>
      <c r="U190" s="18" t="n"/>
      <c r="V190" s="18" t="n"/>
      <c r="W190" s="18" t="n"/>
      <c r="X190" s="25" t="n"/>
      <c r="Y190" s="25" t="n"/>
      <c r="Z190" s="32" t="n"/>
      <c r="AA190" s="32" t="n"/>
      <c r="AB190" s="18" t="n"/>
      <c r="AC190" s="20" t="n"/>
      <c r="AD190" s="26">
        <f>IF($P190="","",MAX(0,$P190-N($X190)))</f>
        <v/>
      </c>
      <c r="AE190" s="23">
        <f>IF($A190="","",IF($M190="","Falta recurso",IF(IFERROR(VLOOKUP($M190,Recursos!$A$6:$H$105,7,FALSE),"No")&lt;&gt;"Sí","Recurso no activo",IF(OR($B190="",$H190="",$L190=""),"Faltan fecha u horarios",IF(OR($G190&gt;$H190,$H190&gt;$I190,$I190&gt;$J190,$J190&gt;$K190,$K190&gt;$L190),"Revisar secuencia horaria",IF(SUMPRODUCT(($B$6:$B$205=$B190)*($M$6:$M$205=$M190)*($H$6:$H$205&lt;$L190)*($L$6:$L$205&gt;$H190)*N($P$6:$P$205))&gt;N($R190),"Stock insuficiente",IF(AND($U190&lt;&gt;"",SUMPRODUCT(($B$6:$B$205=$B190)*($U$6:$U$205=$U190)*($A$6:$A$205&lt;&gt;$A190)*($H$6:$H$205&lt;$L190)*($L$6:$L$205&gt;$H190))&gt;0),"Vehículo solapado",IF(AND($Z190&lt;&gt;"",$J190&lt;&gt;"",$Z190&gt;$J190),"Entrega fuera de ventana",IF(AND($W190="Devuelto",N($Y190)&lt;N($X190)),"Devolución incompleta","")))))))))</f>
        <v/>
      </c>
      <c r="AF190" s="24">
        <f>IF($A190="","",IF(OR($B190="",$C190="",$D190="",$E190="",$H190="",$I190="",$J190="",$L190="",$M190="",$P190="",$U190="",$V190="",$W190=""),"Revisar",IF($AE190&lt;&gt;"","Revisar","Correcto")))</f>
        <v/>
      </c>
    </row>
    <row r="191">
      <c r="A191" s="18" t="n"/>
      <c r="B191" s="19" t="n"/>
      <c r="C191" s="20" t="n"/>
      <c r="D191" s="20" t="n"/>
      <c r="E191" s="18" t="n"/>
      <c r="F191" s="21" t="n"/>
      <c r="G191" s="32" t="n"/>
      <c r="H191" s="32" t="n"/>
      <c r="I191" s="32" t="n"/>
      <c r="J191" s="32" t="n"/>
      <c r="K191" s="32" t="n"/>
      <c r="L191" s="32" t="n"/>
      <c r="M191" s="18" t="n"/>
      <c r="N191" s="23">
        <f>IF($M191="","",IFERROR(VLOOKUP($M191,Recursos!$A$6:$H$105,3,FALSE),"Código no encontrado"))</f>
        <v/>
      </c>
      <c r="O191" s="24">
        <f>IF($M191="","",IFERROR(VLOOKUP($M191,Recursos!$A$6:$H$105,2,FALSE),""))</f>
        <v/>
      </c>
      <c r="P191" s="25" t="n"/>
      <c r="Q191" s="24">
        <f>IF($M191="","",IFERROR(VLOOKUP($M191,Recursos!$A$6:$H$105,5,FALSE),""))</f>
        <v/>
      </c>
      <c r="R191" s="26">
        <f>IF($M191="","",IFERROR(VLOOKUP($M191,Recursos!$A$6:$H$105,4,FALSE),""))</f>
        <v/>
      </c>
      <c r="S191" s="27">
        <f>IF($M191="","",IFERROR(VLOOKUP($M191,Recursos!$A$6:$H$105,6,FALSE),""))</f>
        <v/>
      </c>
      <c r="T191" s="27">
        <f>IF(OR($P191="",$S191=""),"",ROUND($P191*$S191,2))</f>
        <v/>
      </c>
      <c r="U191" s="18" t="n"/>
      <c r="V191" s="18" t="n"/>
      <c r="W191" s="18" t="n"/>
      <c r="X191" s="25" t="n"/>
      <c r="Y191" s="25" t="n"/>
      <c r="Z191" s="32" t="n"/>
      <c r="AA191" s="32" t="n"/>
      <c r="AB191" s="18" t="n"/>
      <c r="AC191" s="20" t="n"/>
      <c r="AD191" s="26">
        <f>IF($P191="","",MAX(0,$P191-N($X191)))</f>
        <v/>
      </c>
      <c r="AE191" s="23">
        <f>IF($A191="","",IF($M191="","Falta recurso",IF(IFERROR(VLOOKUP($M191,Recursos!$A$6:$H$105,7,FALSE),"No")&lt;&gt;"Sí","Recurso no activo",IF(OR($B191="",$H191="",$L191=""),"Faltan fecha u horarios",IF(OR($G191&gt;$H191,$H191&gt;$I191,$I191&gt;$J191,$J191&gt;$K191,$K191&gt;$L191),"Revisar secuencia horaria",IF(SUMPRODUCT(($B$6:$B$205=$B191)*($M$6:$M$205=$M191)*($H$6:$H$205&lt;$L191)*($L$6:$L$205&gt;$H191)*N($P$6:$P$205))&gt;N($R191),"Stock insuficiente",IF(AND($U191&lt;&gt;"",SUMPRODUCT(($B$6:$B$205=$B191)*($U$6:$U$205=$U191)*($A$6:$A$205&lt;&gt;$A191)*($H$6:$H$205&lt;$L191)*($L$6:$L$205&gt;$H191))&gt;0),"Vehículo solapado",IF(AND($Z191&lt;&gt;"",$J191&lt;&gt;"",$Z191&gt;$J191),"Entrega fuera de ventana",IF(AND($W191="Devuelto",N($Y191)&lt;N($X191)),"Devolución incompleta","")))))))))</f>
        <v/>
      </c>
      <c r="AF191" s="24">
        <f>IF($A191="","",IF(OR($B191="",$C191="",$D191="",$E191="",$H191="",$I191="",$J191="",$L191="",$M191="",$P191="",$U191="",$V191="",$W191=""),"Revisar",IF($AE191&lt;&gt;"","Revisar","Correcto")))</f>
        <v/>
      </c>
    </row>
    <row r="192">
      <c r="A192" s="18" t="n"/>
      <c r="B192" s="19" t="n"/>
      <c r="C192" s="20" t="n"/>
      <c r="D192" s="20" t="n"/>
      <c r="E192" s="18" t="n"/>
      <c r="F192" s="21" t="n"/>
      <c r="G192" s="32" t="n"/>
      <c r="H192" s="32" t="n"/>
      <c r="I192" s="32" t="n"/>
      <c r="J192" s="32" t="n"/>
      <c r="K192" s="32" t="n"/>
      <c r="L192" s="32" t="n"/>
      <c r="M192" s="18" t="n"/>
      <c r="N192" s="23">
        <f>IF($M192="","",IFERROR(VLOOKUP($M192,Recursos!$A$6:$H$105,3,FALSE),"Código no encontrado"))</f>
        <v/>
      </c>
      <c r="O192" s="24">
        <f>IF($M192="","",IFERROR(VLOOKUP($M192,Recursos!$A$6:$H$105,2,FALSE),""))</f>
        <v/>
      </c>
      <c r="P192" s="25" t="n"/>
      <c r="Q192" s="24">
        <f>IF($M192="","",IFERROR(VLOOKUP($M192,Recursos!$A$6:$H$105,5,FALSE),""))</f>
        <v/>
      </c>
      <c r="R192" s="26">
        <f>IF($M192="","",IFERROR(VLOOKUP($M192,Recursos!$A$6:$H$105,4,FALSE),""))</f>
        <v/>
      </c>
      <c r="S192" s="27">
        <f>IF($M192="","",IFERROR(VLOOKUP($M192,Recursos!$A$6:$H$105,6,FALSE),""))</f>
        <v/>
      </c>
      <c r="T192" s="27">
        <f>IF(OR($P192="",$S192=""),"",ROUND($P192*$S192,2))</f>
        <v/>
      </c>
      <c r="U192" s="18" t="n"/>
      <c r="V192" s="18" t="n"/>
      <c r="W192" s="18" t="n"/>
      <c r="X192" s="25" t="n"/>
      <c r="Y192" s="25" t="n"/>
      <c r="Z192" s="32" t="n"/>
      <c r="AA192" s="32" t="n"/>
      <c r="AB192" s="18" t="n"/>
      <c r="AC192" s="20" t="n"/>
      <c r="AD192" s="26">
        <f>IF($P192="","",MAX(0,$P192-N($X192)))</f>
        <v/>
      </c>
      <c r="AE192" s="23">
        <f>IF($A192="","",IF($M192="","Falta recurso",IF(IFERROR(VLOOKUP($M192,Recursos!$A$6:$H$105,7,FALSE),"No")&lt;&gt;"Sí","Recurso no activo",IF(OR($B192="",$H192="",$L192=""),"Faltan fecha u horarios",IF(OR($G192&gt;$H192,$H192&gt;$I192,$I192&gt;$J192,$J192&gt;$K192,$K192&gt;$L192),"Revisar secuencia horaria",IF(SUMPRODUCT(($B$6:$B$205=$B192)*($M$6:$M$205=$M192)*($H$6:$H$205&lt;$L192)*($L$6:$L$205&gt;$H192)*N($P$6:$P$205))&gt;N($R192),"Stock insuficiente",IF(AND($U192&lt;&gt;"",SUMPRODUCT(($B$6:$B$205=$B192)*($U$6:$U$205=$U192)*($A$6:$A$205&lt;&gt;$A192)*($H$6:$H$205&lt;$L192)*($L$6:$L$205&gt;$H192))&gt;0),"Vehículo solapado",IF(AND($Z192&lt;&gt;"",$J192&lt;&gt;"",$Z192&gt;$J192),"Entrega fuera de ventana",IF(AND($W192="Devuelto",N($Y192)&lt;N($X192)),"Devolución incompleta","")))))))))</f>
        <v/>
      </c>
      <c r="AF192" s="24">
        <f>IF($A192="","",IF(OR($B192="",$C192="",$D192="",$E192="",$H192="",$I192="",$J192="",$L192="",$M192="",$P192="",$U192="",$V192="",$W192=""),"Revisar",IF($AE192&lt;&gt;"","Revisar","Correcto")))</f>
        <v/>
      </c>
    </row>
    <row r="193">
      <c r="A193" s="18" t="n"/>
      <c r="B193" s="19" t="n"/>
      <c r="C193" s="20" t="n"/>
      <c r="D193" s="20" t="n"/>
      <c r="E193" s="18" t="n"/>
      <c r="F193" s="21" t="n"/>
      <c r="G193" s="32" t="n"/>
      <c r="H193" s="32" t="n"/>
      <c r="I193" s="32" t="n"/>
      <c r="J193" s="32" t="n"/>
      <c r="K193" s="32" t="n"/>
      <c r="L193" s="32" t="n"/>
      <c r="M193" s="18" t="n"/>
      <c r="N193" s="23">
        <f>IF($M193="","",IFERROR(VLOOKUP($M193,Recursos!$A$6:$H$105,3,FALSE),"Código no encontrado"))</f>
        <v/>
      </c>
      <c r="O193" s="24">
        <f>IF($M193="","",IFERROR(VLOOKUP($M193,Recursos!$A$6:$H$105,2,FALSE),""))</f>
        <v/>
      </c>
      <c r="P193" s="25" t="n"/>
      <c r="Q193" s="24">
        <f>IF($M193="","",IFERROR(VLOOKUP($M193,Recursos!$A$6:$H$105,5,FALSE),""))</f>
        <v/>
      </c>
      <c r="R193" s="26">
        <f>IF($M193="","",IFERROR(VLOOKUP($M193,Recursos!$A$6:$H$105,4,FALSE),""))</f>
        <v/>
      </c>
      <c r="S193" s="27">
        <f>IF($M193="","",IFERROR(VLOOKUP($M193,Recursos!$A$6:$H$105,6,FALSE),""))</f>
        <v/>
      </c>
      <c r="T193" s="27">
        <f>IF(OR($P193="",$S193=""),"",ROUND($P193*$S193,2))</f>
        <v/>
      </c>
      <c r="U193" s="18" t="n"/>
      <c r="V193" s="18" t="n"/>
      <c r="W193" s="18" t="n"/>
      <c r="X193" s="25" t="n"/>
      <c r="Y193" s="25" t="n"/>
      <c r="Z193" s="32" t="n"/>
      <c r="AA193" s="32" t="n"/>
      <c r="AB193" s="18" t="n"/>
      <c r="AC193" s="20" t="n"/>
      <c r="AD193" s="26">
        <f>IF($P193="","",MAX(0,$P193-N($X193)))</f>
        <v/>
      </c>
      <c r="AE193" s="23">
        <f>IF($A193="","",IF($M193="","Falta recurso",IF(IFERROR(VLOOKUP($M193,Recursos!$A$6:$H$105,7,FALSE),"No")&lt;&gt;"Sí","Recurso no activo",IF(OR($B193="",$H193="",$L193=""),"Faltan fecha u horarios",IF(OR($G193&gt;$H193,$H193&gt;$I193,$I193&gt;$J193,$J193&gt;$K193,$K193&gt;$L193),"Revisar secuencia horaria",IF(SUMPRODUCT(($B$6:$B$205=$B193)*($M$6:$M$205=$M193)*($H$6:$H$205&lt;$L193)*($L$6:$L$205&gt;$H193)*N($P$6:$P$205))&gt;N($R193),"Stock insuficiente",IF(AND($U193&lt;&gt;"",SUMPRODUCT(($B$6:$B$205=$B193)*($U$6:$U$205=$U193)*($A$6:$A$205&lt;&gt;$A193)*($H$6:$H$205&lt;$L193)*($L$6:$L$205&gt;$H193))&gt;0),"Vehículo solapado",IF(AND($Z193&lt;&gt;"",$J193&lt;&gt;"",$Z193&gt;$J193),"Entrega fuera de ventana",IF(AND($W193="Devuelto",N($Y193)&lt;N($X193)),"Devolución incompleta","")))))))))</f>
        <v/>
      </c>
      <c r="AF193" s="24">
        <f>IF($A193="","",IF(OR($B193="",$C193="",$D193="",$E193="",$H193="",$I193="",$J193="",$L193="",$M193="",$P193="",$U193="",$V193="",$W193=""),"Revisar",IF($AE193&lt;&gt;"","Revisar","Correcto")))</f>
        <v/>
      </c>
    </row>
    <row r="194">
      <c r="A194" s="18" t="n"/>
      <c r="B194" s="19" t="n"/>
      <c r="C194" s="20" t="n"/>
      <c r="D194" s="20" t="n"/>
      <c r="E194" s="18" t="n"/>
      <c r="F194" s="21" t="n"/>
      <c r="G194" s="32" t="n"/>
      <c r="H194" s="32" t="n"/>
      <c r="I194" s="32" t="n"/>
      <c r="J194" s="32" t="n"/>
      <c r="K194" s="32" t="n"/>
      <c r="L194" s="32" t="n"/>
      <c r="M194" s="18" t="n"/>
      <c r="N194" s="23">
        <f>IF($M194="","",IFERROR(VLOOKUP($M194,Recursos!$A$6:$H$105,3,FALSE),"Código no encontrado"))</f>
        <v/>
      </c>
      <c r="O194" s="24">
        <f>IF($M194="","",IFERROR(VLOOKUP($M194,Recursos!$A$6:$H$105,2,FALSE),""))</f>
        <v/>
      </c>
      <c r="P194" s="25" t="n"/>
      <c r="Q194" s="24">
        <f>IF($M194="","",IFERROR(VLOOKUP($M194,Recursos!$A$6:$H$105,5,FALSE),""))</f>
        <v/>
      </c>
      <c r="R194" s="26">
        <f>IF($M194="","",IFERROR(VLOOKUP($M194,Recursos!$A$6:$H$105,4,FALSE),""))</f>
        <v/>
      </c>
      <c r="S194" s="27">
        <f>IF($M194="","",IFERROR(VLOOKUP($M194,Recursos!$A$6:$H$105,6,FALSE),""))</f>
        <v/>
      </c>
      <c r="T194" s="27">
        <f>IF(OR($P194="",$S194=""),"",ROUND($P194*$S194,2))</f>
        <v/>
      </c>
      <c r="U194" s="18" t="n"/>
      <c r="V194" s="18" t="n"/>
      <c r="W194" s="18" t="n"/>
      <c r="X194" s="25" t="n"/>
      <c r="Y194" s="25" t="n"/>
      <c r="Z194" s="32" t="n"/>
      <c r="AA194" s="32" t="n"/>
      <c r="AB194" s="18" t="n"/>
      <c r="AC194" s="20" t="n"/>
      <c r="AD194" s="26">
        <f>IF($P194="","",MAX(0,$P194-N($X194)))</f>
        <v/>
      </c>
      <c r="AE194" s="23">
        <f>IF($A194="","",IF($M194="","Falta recurso",IF(IFERROR(VLOOKUP($M194,Recursos!$A$6:$H$105,7,FALSE),"No")&lt;&gt;"Sí","Recurso no activo",IF(OR($B194="",$H194="",$L194=""),"Faltan fecha u horarios",IF(OR($G194&gt;$H194,$H194&gt;$I194,$I194&gt;$J194,$J194&gt;$K194,$K194&gt;$L194),"Revisar secuencia horaria",IF(SUMPRODUCT(($B$6:$B$205=$B194)*($M$6:$M$205=$M194)*($H$6:$H$205&lt;$L194)*($L$6:$L$205&gt;$H194)*N($P$6:$P$205))&gt;N($R194),"Stock insuficiente",IF(AND($U194&lt;&gt;"",SUMPRODUCT(($B$6:$B$205=$B194)*($U$6:$U$205=$U194)*($A$6:$A$205&lt;&gt;$A194)*($H$6:$H$205&lt;$L194)*($L$6:$L$205&gt;$H194))&gt;0),"Vehículo solapado",IF(AND($Z194&lt;&gt;"",$J194&lt;&gt;"",$Z194&gt;$J194),"Entrega fuera de ventana",IF(AND($W194="Devuelto",N($Y194)&lt;N($X194)),"Devolución incompleta","")))))))))</f>
        <v/>
      </c>
      <c r="AF194" s="24">
        <f>IF($A194="","",IF(OR($B194="",$C194="",$D194="",$E194="",$H194="",$I194="",$J194="",$L194="",$M194="",$P194="",$U194="",$V194="",$W194=""),"Revisar",IF($AE194&lt;&gt;"","Revisar","Correcto")))</f>
        <v/>
      </c>
    </row>
    <row r="195">
      <c r="A195" s="18" t="n"/>
      <c r="B195" s="19" t="n"/>
      <c r="C195" s="20" t="n"/>
      <c r="D195" s="20" t="n"/>
      <c r="E195" s="18" t="n"/>
      <c r="F195" s="21" t="n"/>
      <c r="G195" s="32" t="n"/>
      <c r="H195" s="32" t="n"/>
      <c r="I195" s="32" t="n"/>
      <c r="J195" s="32" t="n"/>
      <c r="K195" s="32" t="n"/>
      <c r="L195" s="32" t="n"/>
      <c r="M195" s="18" t="n"/>
      <c r="N195" s="23">
        <f>IF($M195="","",IFERROR(VLOOKUP($M195,Recursos!$A$6:$H$105,3,FALSE),"Código no encontrado"))</f>
        <v/>
      </c>
      <c r="O195" s="24">
        <f>IF($M195="","",IFERROR(VLOOKUP($M195,Recursos!$A$6:$H$105,2,FALSE),""))</f>
        <v/>
      </c>
      <c r="P195" s="25" t="n"/>
      <c r="Q195" s="24">
        <f>IF($M195="","",IFERROR(VLOOKUP($M195,Recursos!$A$6:$H$105,5,FALSE),""))</f>
        <v/>
      </c>
      <c r="R195" s="26">
        <f>IF($M195="","",IFERROR(VLOOKUP($M195,Recursos!$A$6:$H$105,4,FALSE),""))</f>
        <v/>
      </c>
      <c r="S195" s="27">
        <f>IF($M195="","",IFERROR(VLOOKUP($M195,Recursos!$A$6:$H$105,6,FALSE),""))</f>
        <v/>
      </c>
      <c r="T195" s="27">
        <f>IF(OR($P195="",$S195=""),"",ROUND($P195*$S195,2))</f>
        <v/>
      </c>
      <c r="U195" s="18" t="n"/>
      <c r="V195" s="18" t="n"/>
      <c r="W195" s="18" t="n"/>
      <c r="X195" s="25" t="n"/>
      <c r="Y195" s="25" t="n"/>
      <c r="Z195" s="32" t="n"/>
      <c r="AA195" s="32" t="n"/>
      <c r="AB195" s="18" t="n"/>
      <c r="AC195" s="20" t="n"/>
      <c r="AD195" s="26">
        <f>IF($P195="","",MAX(0,$P195-N($X195)))</f>
        <v/>
      </c>
      <c r="AE195" s="23">
        <f>IF($A195="","",IF($M195="","Falta recurso",IF(IFERROR(VLOOKUP($M195,Recursos!$A$6:$H$105,7,FALSE),"No")&lt;&gt;"Sí","Recurso no activo",IF(OR($B195="",$H195="",$L195=""),"Faltan fecha u horarios",IF(OR($G195&gt;$H195,$H195&gt;$I195,$I195&gt;$J195,$J195&gt;$K195,$K195&gt;$L195),"Revisar secuencia horaria",IF(SUMPRODUCT(($B$6:$B$205=$B195)*($M$6:$M$205=$M195)*($H$6:$H$205&lt;$L195)*($L$6:$L$205&gt;$H195)*N($P$6:$P$205))&gt;N($R195),"Stock insuficiente",IF(AND($U195&lt;&gt;"",SUMPRODUCT(($B$6:$B$205=$B195)*($U$6:$U$205=$U195)*($A$6:$A$205&lt;&gt;$A195)*($H$6:$H$205&lt;$L195)*($L$6:$L$205&gt;$H195))&gt;0),"Vehículo solapado",IF(AND($Z195&lt;&gt;"",$J195&lt;&gt;"",$Z195&gt;$J195),"Entrega fuera de ventana",IF(AND($W195="Devuelto",N($Y195)&lt;N($X195)),"Devolución incompleta","")))))))))</f>
        <v/>
      </c>
      <c r="AF195" s="24">
        <f>IF($A195="","",IF(OR($B195="",$C195="",$D195="",$E195="",$H195="",$I195="",$J195="",$L195="",$M195="",$P195="",$U195="",$V195="",$W195=""),"Revisar",IF($AE195&lt;&gt;"","Revisar","Correcto")))</f>
        <v/>
      </c>
    </row>
    <row r="196">
      <c r="A196" s="18" t="n"/>
      <c r="B196" s="19" t="n"/>
      <c r="C196" s="20" t="n"/>
      <c r="D196" s="20" t="n"/>
      <c r="E196" s="18" t="n"/>
      <c r="F196" s="21" t="n"/>
      <c r="G196" s="32" t="n"/>
      <c r="H196" s="32" t="n"/>
      <c r="I196" s="32" t="n"/>
      <c r="J196" s="32" t="n"/>
      <c r="K196" s="32" t="n"/>
      <c r="L196" s="32" t="n"/>
      <c r="M196" s="18" t="n"/>
      <c r="N196" s="23">
        <f>IF($M196="","",IFERROR(VLOOKUP($M196,Recursos!$A$6:$H$105,3,FALSE),"Código no encontrado"))</f>
        <v/>
      </c>
      <c r="O196" s="24">
        <f>IF($M196="","",IFERROR(VLOOKUP($M196,Recursos!$A$6:$H$105,2,FALSE),""))</f>
        <v/>
      </c>
      <c r="P196" s="25" t="n"/>
      <c r="Q196" s="24">
        <f>IF($M196="","",IFERROR(VLOOKUP($M196,Recursos!$A$6:$H$105,5,FALSE),""))</f>
        <v/>
      </c>
      <c r="R196" s="26">
        <f>IF($M196="","",IFERROR(VLOOKUP($M196,Recursos!$A$6:$H$105,4,FALSE),""))</f>
        <v/>
      </c>
      <c r="S196" s="27">
        <f>IF($M196="","",IFERROR(VLOOKUP($M196,Recursos!$A$6:$H$105,6,FALSE),""))</f>
        <v/>
      </c>
      <c r="T196" s="27">
        <f>IF(OR($P196="",$S196=""),"",ROUND($P196*$S196,2))</f>
        <v/>
      </c>
      <c r="U196" s="18" t="n"/>
      <c r="V196" s="18" t="n"/>
      <c r="W196" s="18" t="n"/>
      <c r="X196" s="25" t="n"/>
      <c r="Y196" s="25" t="n"/>
      <c r="Z196" s="32" t="n"/>
      <c r="AA196" s="32" t="n"/>
      <c r="AB196" s="18" t="n"/>
      <c r="AC196" s="20" t="n"/>
      <c r="AD196" s="26">
        <f>IF($P196="","",MAX(0,$P196-N($X196)))</f>
        <v/>
      </c>
      <c r="AE196" s="23">
        <f>IF($A196="","",IF($M196="","Falta recurso",IF(IFERROR(VLOOKUP($M196,Recursos!$A$6:$H$105,7,FALSE),"No")&lt;&gt;"Sí","Recurso no activo",IF(OR($B196="",$H196="",$L196=""),"Faltan fecha u horarios",IF(OR($G196&gt;$H196,$H196&gt;$I196,$I196&gt;$J196,$J196&gt;$K196,$K196&gt;$L196),"Revisar secuencia horaria",IF(SUMPRODUCT(($B$6:$B$205=$B196)*($M$6:$M$205=$M196)*($H$6:$H$205&lt;$L196)*($L$6:$L$205&gt;$H196)*N($P$6:$P$205))&gt;N($R196),"Stock insuficiente",IF(AND($U196&lt;&gt;"",SUMPRODUCT(($B$6:$B$205=$B196)*($U$6:$U$205=$U196)*($A$6:$A$205&lt;&gt;$A196)*($H$6:$H$205&lt;$L196)*($L$6:$L$205&gt;$H196))&gt;0),"Vehículo solapado",IF(AND($Z196&lt;&gt;"",$J196&lt;&gt;"",$Z196&gt;$J196),"Entrega fuera de ventana",IF(AND($W196="Devuelto",N($Y196)&lt;N($X196)),"Devolución incompleta","")))))))))</f>
        <v/>
      </c>
      <c r="AF196" s="24">
        <f>IF($A196="","",IF(OR($B196="",$C196="",$D196="",$E196="",$H196="",$I196="",$J196="",$L196="",$M196="",$P196="",$U196="",$V196="",$W196=""),"Revisar",IF($AE196&lt;&gt;"","Revisar","Correcto")))</f>
        <v/>
      </c>
    </row>
    <row r="197">
      <c r="A197" s="18" t="n"/>
      <c r="B197" s="19" t="n"/>
      <c r="C197" s="20" t="n"/>
      <c r="D197" s="20" t="n"/>
      <c r="E197" s="18" t="n"/>
      <c r="F197" s="21" t="n"/>
      <c r="G197" s="32" t="n"/>
      <c r="H197" s="32" t="n"/>
      <c r="I197" s="32" t="n"/>
      <c r="J197" s="32" t="n"/>
      <c r="K197" s="32" t="n"/>
      <c r="L197" s="32" t="n"/>
      <c r="M197" s="18" t="n"/>
      <c r="N197" s="23">
        <f>IF($M197="","",IFERROR(VLOOKUP($M197,Recursos!$A$6:$H$105,3,FALSE),"Código no encontrado"))</f>
        <v/>
      </c>
      <c r="O197" s="24">
        <f>IF($M197="","",IFERROR(VLOOKUP($M197,Recursos!$A$6:$H$105,2,FALSE),""))</f>
        <v/>
      </c>
      <c r="P197" s="25" t="n"/>
      <c r="Q197" s="24">
        <f>IF($M197="","",IFERROR(VLOOKUP($M197,Recursos!$A$6:$H$105,5,FALSE),""))</f>
        <v/>
      </c>
      <c r="R197" s="26">
        <f>IF($M197="","",IFERROR(VLOOKUP($M197,Recursos!$A$6:$H$105,4,FALSE),""))</f>
        <v/>
      </c>
      <c r="S197" s="27">
        <f>IF($M197="","",IFERROR(VLOOKUP($M197,Recursos!$A$6:$H$105,6,FALSE),""))</f>
        <v/>
      </c>
      <c r="T197" s="27">
        <f>IF(OR($P197="",$S197=""),"",ROUND($P197*$S197,2))</f>
        <v/>
      </c>
      <c r="U197" s="18" t="n"/>
      <c r="V197" s="18" t="n"/>
      <c r="W197" s="18" t="n"/>
      <c r="X197" s="25" t="n"/>
      <c r="Y197" s="25" t="n"/>
      <c r="Z197" s="32" t="n"/>
      <c r="AA197" s="32" t="n"/>
      <c r="AB197" s="18" t="n"/>
      <c r="AC197" s="20" t="n"/>
      <c r="AD197" s="26">
        <f>IF($P197="","",MAX(0,$P197-N($X197)))</f>
        <v/>
      </c>
      <c r="AE197" s="23">
        <f>IF($A197="","",IF($M197="","Falta recurso",IF(IFERROR(VLOOKUP($M197,Recursos!$A$6:$H$105,7,FALSE),"No")&lt;&gt;"Sí","Recurso no activo",IF(OR($B197="",$H197="",$L197=""),"Faltan fecha u horarios",IF(OR($G197&gt;$H197,$H197&gt;$I197,$I197&gt;$J197,$J197&gt;$K197,$K197&gt;$L197),"Revisar secuencia horaria",IF(SUMPRODUCT(($B$6:$B$205=$B197)*($M$6:$M$205=$M197)*($H$6:$H$205&lt;$L197)*($L$6:$L$205&gt;$H197)*N($P$6:$P$205))&gt;N($R197),"Stock insuficiente",IF(AND($U197&lt;&gt;"",SUMPRODUCT(($B$6:$B$205=$B197)*($U$6:$U$205=$U197)*($A$6:$A$205&lt;&gt;$A197)*($H$6:$H$205&lt;$L197)*($L$6:$L$205&gt;$H197))&gt;0),"Vehículo solapado",IF(AND($Z197&lt;&gt;"",$J197&lt;&gt;"",$Z197&gt;$J197),"Entrega fuera de ventana",IF(AND($W197="Devuelto",N($Y197)&lt;N($X197)),"Devolución incompleta","")))))))))</f>
        <v/>
      </c>
      <c r="AF197" s="24">
        <f>IF($A197="","",IF(OR($B197="",$C197="",$D197="",$E197="",$H197="",$I197="",$J197="",$L197="",$M197="",$P197="",$U197="",$V197="",$W197=""),"Revisar",IF($AE197&lt;&gt;"","Revisar","Correcto")))</f>
        <v/>
      </c>
    </row>
    <row r="198">
      <c r="A198" s="18" t="n"/>
      <c r="B198" s="19" t="n"/>
      <c r="C198" s="20" t="n"/>
      <c r="D198" s="20" t="n"/>
      <c r="E198" s="18" t="n"/>
      <c r="F198" s="21" t="n"/>
      <c r="G198" s="32" t="n"/>
      <c r="H198" s="32" t="n"/>
      <c r="I198" s="32" t="n"/>
      <c r="J198" s="32" t="n"/>
      <c r="K198" s="32" t="n"/>
      <c r="L198" s="32" t="n"/>
      <c r="M198" s="18" t="n"/>
      <c r="N198" s="23">
        <f>IF($M198="","",IFERROR(VLOOKUP($M198,Recursos!$A$6:$H$105,3,FALSE),"Código no encontrado"))</f>
        <v/>
      </c>
      <c r="O198" s="24">
        <f>IF($M198="","",IFERROR(VLOOKUP($M198,Recursos!$A$6:$H$105,2,FALSE),""))</f>
        <v/>
      </c>
      <c r="P198" s="25" t="n"/>
      <c r="Q198" s="24">
        <f>IF($M198="","",IFERROR(VLOOKUP($M198,Recursos!$A$6:$H$105,5,FALSE),""))</f>
        <v/>
      </c>
      <c r="R198" s="26">
        <f>IF($M198="","",IFERROR(VLOOKUP($M198,Recursos!$A$6:$H$105,4,FALSE),""))</f>
        <v/>
      </c>
      <c r="S198" s="27">
        <f>IF($M198="","",IFERROR(VLOOKUP($M198,Recursos!$A$6:$H$105,6,FALSE),""))</f>
        <v/>
      </c>
      <c r="T198" s="27">
        <f>IF(OR($P198="",$S198=""),"",ROUND($P198*$S198,2))</f>
        <v/>
      </c>
      <c r="U198" s="18" t="n"/>
      <c r="V198" s="18" t="n"/>
      <c r="W198" s="18" t="n"/>
      <c r="X198" s="25" t="n"/>
      <c r="Y198" s="25" t="n"/>
      <c r="Z198" s="32" t="n"/>
      <c r="AA198" s="32" t="n"/>
      <c r="AB198" s="18" t="n"/>
      <c r="AC198" s="20" t="n"/>
      <c r="AD198" s="26">
        <f>IF($P198="","",MAX(0,$P198-N($X198)))</f>
        <v/>
      </c>
      <c r="AE198" s="23">
        <f>IF($A198="","",IF($M198="","Falta recurso",IF(IFERROR(VLOOKUP($M198,Recursos!$A$6:$H$105,7,FALSE),"No")&lt;&gt;"Sí","Recurso no activo",IF(OR($B198="",$H198="",$L198=""),"Faltan fecha u horarios",IF(OR($G198&gt;$H198,$H198&gt;$I198,$I198&gt;$J198,$J198&gt;$K198,$K198&gt;$L198),"Revisar secuencia horaria",IF(SUMPRODUCT(($B$6:$B$205=$B198)*($M$6:$M$205=$M198)*($H$6:$H$205&lt;$L198)*($L$6:$L$205&gt;$H198)*N($P$6:$P$205))&gt;N($R198),"Stock insuficiente",IF(AND($U198&lt;&gt;"",SUMPRODUCT(($B$6:$B$205=$B198)*($U$6:$U$205=$U198)*($A$6:$A$205&lt;&gt;$A198)*($H$6:$H$205&lt;$L198)*($L$6:$L$205&gt;$H198))&gt;0),"Vehículo solapado",IF(AND($Z198&lt;&gt;"",$J198&lt;&gt;"",$Z198&gt;$J198),"Entrega fuera de ventana",IF(AND($W198="Devuelto",N($Y198)&lt;N($X198)),"Devolución incompleta","")))))))))</f>
        <v/>
      </c>
      <c r="AF198" s="24">
        <f>IF($A198="","",IF(OR($B198="",$C198="",$D198="",$E198="",$H198="",$I198="",$J198="",$L198="",$M198="",$P198="",$U198="",$V198="",$W198=""),"Revisar",IF($AE198&lt;&gt;"","Revisar","Correcto")))</f>
        <v/>
      </c>
    </row>
    <row r="199">
      <c r="A199" s="18" t="n"/>
      <c r="B199" s="19" t="n"/>
      <c r="C199" s="20" t="n"/>
      <c r="D199" s="20" t="n"/>
      <c r="E199" s="18" t="n"/>
      <c r="F199" s="21" t="n"/>
      <c r="G199" s="32" t="n"/>
      <c r="H199" s="32" t="n"/>
      <c r="I199" s="32" t="n"/>
      <c r="J199" s="32" t="n"/>
      <c r="K199" s="32" t="n"/>
      <c r="L199" s="32" t="n"/>
      <c r="M199" s="18" t="n"/>
      <c r="N199" s="23">
        <f>IF($M199="","",IFERROR(VLOOKUP($M199,Recursos!$A$6:$H$105,3,FALSE),"Código no encontrado"))</f>
        <v/>
      </c>
      <c r="O199" s="24">
        <f>IF($M199="","",IFERROR(VLOOKUP($M199,Recursos!$A$6:$H$105,2,FALSE),""))</f>
        <v/>
      </c>
      <c r="P199" s="25" t="n"/>
      <c r="Q199" s="24">
        <f>IF($M199="","",IFERROR(VLOOKUP($M199,Recursos!$A$6:$H$105,5,FALSE),""))</f>
        <v/>
      </c>
      <c r="R199" s="26">
        <f>IF($M199="","",IFERROR(VLOOKUP($M199,Recursos!$A$6:$H$105,4,FALSE),""))</f>
        <v/>
      </c>
      <c r="S199" s="27">
        <f>IF($M199="","",IFERROR(VLOOKUP($M199,Recursos!$A$6:$H$105,6,FALSE),""))</f>
        <v/>
      </c>
      <c r="T199" s="27">
        <f>IF(OR($P199="",$S199=""),"",ROUND($P199*$S199,2))</f>
        <v/>
      </c>
      <c r="U199" s="18" t="n"/>
      <c r="V199" s="18" t="n"/>
      <c r="W199" s="18" t="n"/>
      <c r="X199" s="25" t="n"/>
      <c r="Y199" s="25" t="n"/>
      <c r="Z199" s="32" t="n"/>
      <c r="AA199" s="32" t="n"/>
      <c r="AB199" s="18" t="n"/>
      <c r="AC199" s="20" t="n"/>
      <c r="AD199" s="26">
        <f>IF($P199="","",MAX(0,$P199-N($X199)))</f>
        <v/>
      </c>
      <c r="AE199" s="23">
        <f>IF($A199="","",IF($M199="","Falta recurso",IF(IFERROR(VLOOKUP($M199,Recursos!$A$6:$H$105,7,FALSE),"No")&lt;&gt;"Sí","Recurso no activo",IF(OR($B199="",$H199="",$L199=""),"Faltan fecha u horarios",IF(OR($G199&gt;$H199,$H199&gt;$I199,$I199&gt;$J199,$J199&gt;$K199,$K199&gt;$L199),"Revisar secuencia horaria",IF(SUMPRODUCT(($B$6:$B$205=$B199)*($M$6:$M$205=$M199)*($H$6:$H$205&lt;$L199)*($L$6:$L$205&gt;$H199)*N($P$6:$P$205))&gt;N($R199),"Stock insuficiente",IF(AND($U199&lt;&gt;"",SUMPRODUCT(($B$6:$B$205=$B199)*($U$6:$U$205=$U199)*($A$6:$A$205&lt;&gt;$A199)*($H$6:$H$205&lt;$L199)*($L$6:$L$205&gt;$H199))&gt;0),"Vehículo solapado",IF(AND($Z199&lt;&gt;"",$J199&lt;&gt;"",$Z199&gt;$J199),"Entrega fuera de ventana",IF(AND($W199="Devuelto",N($Y199)&lt;N($X199)),"Devolución incompleta","")))))))))</f>
        <v/>
      </c>
      <c r="AF199" s="24">
        <f>IF($A199="","",IF(OR($B199="",$C199="",$D199="",$E199="",$H199="",$I199="",$J199="",$L199="",$M199="",$P199="",$U199="",$V199="",$W199=""),"Revisar",IF($AE199&lt;&gt;"","Revisar","Correcto")))</f>
        <v/>
      </c>
    </row>
    <row r="200">
      <c r="A200" s="18" t="n"/>
      <c r="B200" s="19" t="n"/>
      <c r="C200" s="20" t="n"/>
      <c r="D200" s="20" t="n"/>
      <c r="E200" s="18" t="n"/>
      <c r="F200" s="21" t="n"/>
      <c r="G200" s="32" t="n"/>
      <c r="H200" s="32" t="n"/>
      <c r="I200" s="32" t="n"/>
      <c r="J200" s="32" t="n"/>
      <c r="K200" s="32" t="n"/>
      <c r="L200" s="32" t="n"/>
      <c r="M200" s="18" t="n"/>
      <c r="N200" s="23">
        <f>IF($M200="","",IFERROR(VLOOKUP($M200,Recursos!$A$6:$H$105,3,FALSE),"Código no encontrado"))</f>
        <v/>
      </c>
      <c r="O200" s="24">
        <f>IF($M200="","",IFERROR(VLOOKUP($M200,Recursos!$A$6:$H$105,2,FALSE),""))</f>
        <v/>
      </c>
      <c r="P200" s="25" t="n"/>
      <c r="Q200" s="24">
        <f>IF($M200="","",IFERROR(VLOOKUP($M200,Recursos!$A$6:$H$105,5,FALSE),""))</f>
        <v/>
      </c>
      <c r="R200" s="26">
        <f>IF($M200="","",IFERROR(VLOOKUP($M200,Recursos!$A$6:$H$105,4,FALSE),""))</f>
        <v/>
      </c>
      <c r="S200" s="27">
        <f>IF($M200="","",IFERROR(VLOOKUP($M200,Recursos!$A$6:$H$105,6,FALSE),""))</f>
        <v/>
      </c>
      <c r="T200" s="27">
        <f>IF(OR($P200="",$S200=""),"",ROUND($P200*$S200,2))</f>
        <v/>
      </c>
      <c r="U200" s="18" t="n"/>
      <c r="V200" s="18" t="n"/>
      <c r="W200" s="18" t="n"/>
      <c r="X200" s="25" t="n"/>
      <c r="Y200" s="25" t="n"/>
      <c r="Z200" s="32" t="n"/>
      <c r="AA200" s="32" t="n"/>
      <c r="AB200" s="18" t="n"/>
      <c r="AC200" s="20" t="n"/>
      <c r="AD200" s="26">
        <f>IF($P200="","",MAX(0,$P200-N($X200)))</f>
        <v/>
      </c>
      <c r="AE200" s="23">
        <f>IF($A200="","",IF($M200="","Falta recurso",IF(IFERROR(VLOOKUP($M200,Recursos!$A$6:$H$105,7,FALSE),"No")&lt;&gt;"Sí","Recurso no activo",IF(OR($B200="",$H200="",$L200=""),"Faltan fecha u horarios",IF(OR($G200&gt;$H200,$H200&gt;$I200,$I200&gt;$J200,$J200&gt;$K200,$K200&gt;$L200),"Revisar secuencia horaria",IF(SUMPRODUCT(($B$6:$B$205=$B200)*($M$6:$M$205=$M200)*($H$6:$H$205&lt;$L200)*($L$6:$L$205&gt;$H200)*N($P$6:$P$205))&gt;N($R200),"Stock insuficiente",IF(AND($U200&lt;&gt;"",SUMPRODUCT(($B$6:$B$205=$B200)*($U$6:$U$205=$U200)*($A$6:$A$205&lt;&gt;$A200)*($H$6:$H$205&lt;$L200)*($L$6:$L$205&gt;$H200))&gt;0),"Vehículo solapado",IF(AND($Z200&lt;&gt;"",$J200&lt;&gt;"",$Z200&gt;$J200),"Entrega fuera de ventana",IF(AND($W200="Devuelto",N($Y200)&lt;N($X200)),"Devolución incompleta","")))))))))</f>
        <v/>
      </c>
      <c r="AF200" s="24">
        <f>IF($A200="","",IF(OR($B200="",$C200="",$D200="",$E200="",$H200="",$I200="",$J200="",$L200="",$M200="",$P200="",$U200="",$V200="",$W200=""),"Revisar",IF($AE200&lt;&gt;"","Revisar","Correcto")))</f>
        <v/>
      </c>
    </row>
    <row r="201">
      <c r="A201" s="18" t="n"/>
      <c r="B201" s="19" t="n"/>
      <c r="C201" s="20" t="n"/>
      <c r="D201" s="20" t="n"/>
      <c r="E201" s="18" t="n"/>
      <c r="F201" s="21" t="n"/>
      <c r="G201" s="32" t="n"/>
      <c r="H201" s="32" t="n"/>
      <c r="I201" s="32" t="n"/>
      <c r="J201" s="32" t="n"/>
      <c r="K201" s="32" t="n"/>
      <c r="L201" s="32" t="n"/>
      <c r="M201" s="18" t="n"/>
      <c r="N201" s="23">
        <f>IF($M201="","",IFERROR(VLOOKUP($M201,Recursos!$A$6:$H$105,3,FALSE),"Código no encontrado"))</f>
        <v/>
      </c>
      <c r="O201" s="24">
        <f>IF($M201="","",IFERROR(VLOOKUP($M201,Recursos!$A$6:$H$105,2,FALSE),""))</f>
        <v/>
      </c>
      <c r="P201" s="25" t="n"/>
      <c r="Q201" s="24">
        <f>IF($M201="","",IFERROR(VLOOKUP($M201,Recursos!$A$6:$H$105,5,FALSE),""))</f>
        <v/>
      </c>
      <c r="R201" s="26">
        <f>IF($M201="","",IFERROR(VLOOKUP($M201,Recursos!$A$6:$H$105,4,FALSE),""))</f>
        <v/>
      </c>
      <c r="S201" s="27">
        <f>IF($M201="","",IFERROR(VLOOKUP($M201,Recursos!$A$6:$H$105,6,FALSE),""))</f>
        <v/>
      </c>
      <c r="T201" s="27">
        <f>IF(OR($P201="",$S201=""),"",ROUND($P201*$S201,2))</f>
        <v/>
      </c>
      <c r="U201" s="18" t="n"/>
      <c r="V201" s="18" t="n"/>
      <c r="W201" s="18" t="n"/>
      <c r="X201" s="25" t="n"/>
      <c r="Y201" s="25" t="n"/>
      <c r="Z201" s="32" t="n"/>
      <c r="AA201" s="32" t="n"/>
      <c r="AB201" s="18" t="n"/>
      <c r="AC201" s="20" t="n"/>
      <c r="AD201" s="26">
        <f>IF($P201="","",MAX(0,$P201-N($X201)))</f>
        <v/>
      </c>
      <c r="AE201" s="23">
        <f>IF($A201="","",IF($M201="","Falta recurso",IF(IFERROR(VLOOKUP($M201,Recursos!$A$6:$H$105,7,FALSE),"No")&lt;&gt;"Sí","Recurso no activo",IF(OR($B201="",$H201="",$L201=""),"Faltan fecha u horarios",IF(OR($G201&gt;$H201,$H201&gt;$I201,$I201&gt;$J201,$J201&gt;$K201,$K201&gt;$L201),"Revisar secuencia horaria",IF(SUMPRODUCT(($B$6:$B$205=$B201)*($M$6:$M$205=$M201)*($H$6:$H$205&lt;$L201)*($L$6:$L$205&gt;$H201)*N($P$6:$P$205))&gt;N($R201),"Stock insuficiente",IF(AND($U201&lt;&gt;"",SUMPRODUCT(($B$6:$B$205=$B201)*($U$6:$U$205=$U201)*($A$6:$A$205&lt;&gt;$A201)*($H$6:$H$205&lt;$L201)*($L$6:$L$205&gt;$H201))&gt;0),"Vehículo solapado",IF(AND($Z201&lt;&gt;"",$J201&lt;&gt;"",$Z201&gt;$J201),"Entrega fuera de ventana",IF(AND($W201="Devuelto",N($Y201)&lt;N($X201)),"Devolución incompleta","")))))))))</f>
        <v/>
      </c>
      <c r="AF201" s="24">
        <f>IF($A201="","",IF(OR($B201="",$C201="",$D201="",$E201="",$H201="",$I201="",$J201="",$L201="",$M201="",$P201="",$U201="",$V201="",$W201=""),"Revisar",IF($AE201&lt;&gt;"","Revisar","Correcto")))</f>
        <v/>
      </c>
    </row>
    <row r="202">
      <c r="A202" s="18" t="n"/>
      <c r="B202" s="19" t="n"/>
      <c r="C202" s="20" t="n"/>
      <c r="D202" s="20" t="n"/>
      <c r="E202" s="18" t="n"/>
      <c r="F202" s="21" t="n"/>
      <c r="G202" s="32" t="n"/>
      <c r="H202" s="32" t="n"/>
      <c r="I202" s="32" t="n"/>
      <c r="J202" s="32" t="n"/>
      <c r="K202" s="32" t="n"/>
      <c r="L202" s="32" t="n"/>
      <c r="M202" s="18" t="n"/>
      <c r="N202" s="23">
        <f>IF($M202="","",IFERROR(VLOOKUP($M202,Recursos!$A$6:$H$105,3,FALSE),"Código no encontrado"))</f>
        <v/>
      </c>
      <c r="O202" s="24">
        <f>IF($M202="","",IFERROR(VLOOKUP($M202,Recursos!$A$6:$H$105,2,FALSE),""))</f>
        <v/>
      </c>
      <c r="P202" s="25" t="n"/>
      <c r="Q202" s="24">
        <f>IF($M202="","",IFERROR(VLOOKUP($M202,Recursos!$A$6:$H$105,5,FALSE),""))</f>
        <v/>
      </c>
      <c r="R202" s="26">
        <f>IF($M202="","",IFERROR(VLOOKUP($M202,Recursos!$A$6:$H$105,4,FALSE),""))</f>
        <v/>
      </c>
      <c r="S202" s="27">
        <f>IF($M202="","",IFERROR(VLOOKUP($M202,Recursos!$A$6:$H$105,6,FALSE),""))</f>
        <v/>
      </c>
      <c r="T202" s="27">
        <f>IF(OR($P202="",$S202=""),"",ROUND($P202*$S202,2))</f>
        <v/>
      </c>
      <c r="U202" s="18" t="n"/>
      <c r="V202" s="18" t="n"/>
      <c r="W202" s="18" t="n"/>
      <c r="X202" s="25" t="n"/>
      <c r="Y202" s="25" t="n"/>
      <c r="Z202" s="32" t="n"/>
      <c r="AA202" s="32" t="n"/>
      <c r="AB202" s="18" t="n"/>
      <c r="AC202" s="20" t="n"/>
      <c r="AD202" s="26">
        <f>IF($P202="","",MAX(0,$P202-N($X202)))</f>
        <v/>
      </c>
      <c r="AE202" s="23">
        <f>IF($A202="","",IF($M202="","Falta recurso",IF(IFERROR(VLOOKUP($M202,Recursos!$A$6:$H$105,7,FALSE),"No")&lt;&gt;"Sí","Recurso no activo",IF(OR($B202="",$H202="",$L202=""),"Faltan fecha u horarios",IF(OR($G202&gt;$H202,$H202&gt;$I202,$I202&gt;$J202,$J202&gt;$K202,$K202&gt;$L202),"Revisar secuencia horaria",IF(SUMPRODUCT(($B$6:$B$205=$B202)*($M$6:$M$205=$M202)*($H$6:$H$205&lt;$L202)*($L$6:$L$205&gt;$H202)*N($P$6:$P$205))&gt;N($R202),"Stock insuficiente",IF(AND($U202&lt;&gt;"",SUMPRODUCT(($B$6:$B$205=$B202)*($U$6:$U$205=$U202)*($A$6:$A$205&lt;&gt;$A202)*($H$6:$H$205&lt;$L202)*($L$6:$L$205&gt;$H202))&gt;0),"Vehículo solapado",IF(AND($Z202&lt;&gt;"",$J202&lt;&gt;"",$Z202&gt;$J202),"Entrega fuera de ventana",IF(AND($W202="Devuelto",N($Y202)&lt;N($X202)),"Devolución incompleta","")))))))))</f>
        <v/>
      </c>
      <c r="AF202" s="24">
        <f>IF($A202="","",IF(OR($B202="",$C202="",$D202="",$E202="",$H202="",$I202="",$J202="",$L202="",$M202="",$P202="",$U202="",$V202="",$W202=""),"Revisar",IF($AE202&lt;&gt;"","Revisar","Correcto")))</f>
        <v/>
      </c>
    </row>
    <row r="203">
      <c r="A203" s="18" t="n"/>
      <c r="B203" s="19" t="n"/>
      <c r="C203" s="20" t="n"/>
      <c r="D203" s="20" t="n"/>
      <c r="E203" s="18" t="n"/>
      <c r="F203" s="21" t="n"/>
      <c r="G203" s="32" t="n"/>
      <c r="H203" s="32" t="n"/>
      <c r="I203" s="32" t="n"/>
      <c r="J203" s="32" t="n"/>
      <c r="K203" s="32" t="n"/>
      <c r="L203" s="32" t="n"/>
      <c r="M203" s="18" t="n"/>
      <c r="N203" s="23">
        <f>IF($M203="","",IFERROR(VLOOKUP($M203,Recursos!$A$6:$H$105,3,FALSE),"Código no encontrado"))</f>
        <v/>
      </c>
      <c r="O203" s="24">
        <f>IF($M203="","",IFERROR(VLOOKUP($M203,Recursos!$A$6:$H$105,2,FALSE),""))</f>
        <v/>
      </c>
      <c r="P203" s="25" t="n"/>
      <c r="Q203" s="24">
        <f>IF($M203="","",IFERROR(VLOOKUP($M203,Recursos!$A$6:$H$105,5,FALSE),""))</f>
        <v/>
      </c>
      <c r="R203" s="26">
        <f>IF($M203="","",IFERROR(VLOOKUP($M203,Recursos!$A$6:$H$105,4,FALSE),""))</f>
        <v/>
      </c>
      <c r="S203" s="27">
        <f>IF($M203="","",IFERROR(VLOOKUP($M203,Recursos!$A$6:$H$105,6,FALSE),""))</f>
        <v/>
      </c>
      <c r="T203" s="27">
        <f>IF(OR($P203="",$S203=""),"",ROUND($P203*$S203,2))</f>
        <v/>
      </c>
      <c r="U203" s="18" t="n"/>
      <c r="V203" s="18" t="n"/>
      <c r="W203" s="18" t="n"/>
      <c r="X203" s="25" t="n"/>
      <c r="Y203" s="25" t="n"/>
      <c r="Z203" s="32" t="n"/>
      <c r="AA203" s="32" t="n"/>
      <c r="AB203" s="18" t="n"/>
      <c r="AC203" s="20" t="n"/>
      <c r="AD203" s="26">
        <f>IF($P203="","",MAX(0,$P203-N($X203)))</f>
        <v/>
      </c>
      <c r="AE203" s="23">
        <f>IF($A203="","",IF($M203="","Falta recurso",IF(IFERROR(VLOOKUP($M203,Recursos!$A$6:$H$105,7,FALSE),"No")&lt;&gt;"Sí","Recurso no activo",IF(OR($B203="",$H203="",$L203=""),"Faltan fecha u horarios",IF(OR($G203&gt;$H203,$H203&gt;$I203,$I203&gt;$J203,$J203&gt;$K203,$K203&gt;$L203),"Revisar secuencia horaria",IF(SUMPRODUCT(($B$6:$B$205=$B203)*($M$6:$M$205=$M203)*($H$6:$H$205&lt;$L203)*($L$6:$L$205&gt;$H203)*N($P$6:$P$205))&gt;N($R203),"Stock insuficiente",IF(AND($U203&lt;&gt;"",SUMPRODUCT(($B$6:$B$205=$B203)*($U$6:$U$205=$U203)*($A$6:$A$205&lt;&gt;$A203)*($H$6:$H$205&lt;$L203)*($L$6:$L$205&gt;$H203))&gt;0),"Vehículo solapado",IF(AND($Z203&lt;&gt;"",$J203&lt;&gt;"",$Z203&gt;$J203),"Entrega fuera de ventana",IF(AND($W203="Devuelto",N($Y203)&lt;N($X203)),"Devolución incompleta","")))))))))</f>
        <v/>
      </c>
      <c r="AF203" s="24">
        <f>IF($A203="","",IF(OR($B203="",$C203="",$D203="",$E203="",$H203="",$I203="",$J203="",$L203="",$M203="",$P203="",$U203="",$V203="",$W203=""),"Revisar",IF($AE203&lt;&gt;"","Revisar","Correcto")))</f>
        <v/>
      </c>
    </row>
    <row r="204">
      <c r="A204" s="18" t="n"/>
      <c r="B204" s="19" t="n"/>
      <c r="C204" s="20" t="n"/>
      <c r="D204" s="20" t="n"/>
      <c r="E204" s="18" t="n"/>
      <c r="F204" s="21" t="n"/>
      <c r="G204" s="32" t="n"/>
      <c r="H204" s="32" t="n"/>
      <c r="I204" s="32" t="n"/>
      <c r="J204" s="32" t="n"/>
      <c r="K204" s="32" t="n"/>
      <c r="L204" s="32" t="n"/>
      <c r="M204" s="18" t="n"/>
      <c r="N204" s="23">
        <f>IF($M204="","",IFERROR(VLOOKUP($M204,Recursos!$A$6:$H$105,3,FALSE),"Código no encontrado"))</f>
        <v/>
      </c>
      <c r="O204" s="24">
        <f>IF($M204="","",IFERROR(VLOOKUP($M204,Recursos!$A$6:$H$105,2,FALSE),""))</f>
        <v/>
      </c>
      <c r="P204" s="25" t="n"/>
      <c r="Q204" s="24">
        <f>IF($M204="","",IFERROR(VLOOKUP($M204,Recursos!$A$6:$H$105,5,FALSE),""))</f>
        <v/>
      </c>
      <c r="R204" s="26">
        <f>IF($M204="","",IFERROR(VLOOKUP($M204,Recursos!$A$6:$H$105,4,FALSE),""))</f>
        <v/>
      </c>
      <c r="S204" s="27">
        <f>IF($M204="","",IFERROR(VLOOKUP($M204,Recursos!$A$6:$H$105,6,FALSE),""))</f>
        <v/>
      </c>
      <c r="T204" s="27">
        <f>IF(OR($P204="",$S204=""),"",ROUND($P204*$S204,2))</f>
        <v/>
      </c>
      <c r="U204" s="18" t="n"/>
      <c r="V204" s="18" t="n"/>
      <c r="W204" s="18" t="n"/>
      <c r="X204" s="25" t="n"/>
      <c r="Y204" s="25" t="n"/>
      <c r="Z204" s="32" t="n"/>
      <c r="AA204" s="32" t="n"/>
      <c r="AB204" s="18" t="n"/>
      <c r="AC204" s="20" t="n"/>
      <c r="AD204" s="26">
        <f>IF($P204="","",MAX(0,$P204-N($X204)))</f>
        <v/>
      </c>
      <c r="AE204" s="23">
        <f>IF($A204="","",IF($M204="","Falta recurso",IF(IFERROR(VLOOKUP($M204,Recursos!$A$6:$H$105,7,FALSE),"No")&lt;&gt;"Sí","Recurso no activo",IF(OR($B204="",$H204="",$L204=""),"Faltan fecha u horarios",IF(OR($G204&gt;$H204,$H204&gt;$I204,$I204&gt;$J204,$J204&gt;$K204,$K204&gt;$L204),"Revisar secuencia horaria",IF(SUMPRODUCT(($B$6:$B$205=$B204)*($M$6:$M$205=$M204)*($H$6:$H$205&lt;$L204)*($L$6:$L$205&gt;$H204)*N($P$6:$P$205))&gt;N($R204),"Stock insuficiente",IF(AND($U204&lt;&gt;"",SUMPRODUCT(($B$6:$B$205=$B204)*($U$6:$U$205=$U204)*($A$6:$A$205&lt;&gt;$A204)*($H$6:$H$205&lt;$L204)*($L$6:$L$205&gt;$H204))&gt;0),"Vehículo solapado",IF(AND($Z204&lt;&gt;"",$J204&lt;&gt;"",$Z204&gt;$J204),"Entrega fuera de ventana",IF(AND($W204="Devuelto",N($Y204)&lt;N($X204)),"Devolución incompleta","")))))))))</f>
        <v/>
      </c>
      <c r="AF204" s="24">
        <f>IF($A204="","",IF(OR($B204="",$C204="",$D204="",$E204="",$H204="",$I204="",$J204="",$L204="",$M204="",$P204="",$U204="",$V204="",$W204=""),"Revisar",IF($AE204&lt;&gt;"","Revisar","Correcto")))</f>
        <v/>
      </c>
    </row>
    <row r="205">
      <c r="A205" s="18" t="n"/>
      <c r="B205" s="19" t="n"/>
      <c r="C205" s="20" t="n"/>
      <c r="D205" s="20" t="n"/>
      <c r="E205" s="18" t="n"/>
      <c r="F205" s="21" t="n"/>
      <c r="G205" s="32" t="n"/>
      <c r="H205" s="32" t="n"/>
      <c r="I205" s="32" t="n"/>
      <c r="J205" s="32" t="n"/>
      <c r="K205" s="32" t="n"/>
      <c r="L205" s="32" t="n"/>
      <c r="M205" s="18" t="n"/>
      <c r="N205" s="23">
        <f>IF($M205="","",IFERROR(VLOOKUP($M205,Recursos!$A$6:$H$105,3,FALSE),"Código no encontrado"))</f>
        <v/>
      </c>
      <c r="O205" s="24">
        <f>IF($M205="","",IFERROR(VLOOKUP($M205,Recursos!$A$6:$H$105,2,FALSE),""))</f>
        <v/>
      </c>
      <c r="P205" s="25" t="n"/>
      <c r="Q205" s="24">
        <f>IF($M205="","",IFERROR(VLOOKUP($M205,Recursos!$A$6:$H$105,5,FALSE),""))</f>
        <v/>
      </c>
      <c r="R205" s="26">
        <f>IF($M205="","",IFERROR(VLOOKUP($M205,Recursos!$A$6:$H$105,4,FALSE),""))</f>
        <v/>
      </c>
      <c r="S205" s="27">
        <f>IF($M205="","",IFERROR(VLOOKUP($M205,Recursos!$A$6:$H$105,6,FALSE),""))</f>
        <v/>
      </c>
      <c r="T205" s="27">
        <f>IF(OR($P205="",$S205=""),"",ROUND($P205*$S205,2))</f>
        <v/>
      </c>
      <c r="U205" s="18" t="n"/>
      <c r="V205" s="18" t="n"/>
      <c r="W205" s="18" t="n"/>
      <c r="X205" s="25" t="n"/>
      <c r="Y205" s="25" t="n"/>
      <c r="Z205" s="32" t="n"/>
      <c r="AA205" s="32" t="n"/>
      <c r="AB205" s="18" t="n"/>
      <c r="AC205" s="20" t="n"/>
      <c r="AD205" s="26">
        <f>IF($P205="","",MAX(0,$P205-N($X205)))</f>
        <v/>
      </c>
      <c r="AE205" s="23">
        <f>IF($A205="","",IF($M205="","Falta recurso",IF(IFERROR(VLOOKUP($M205,Recursos!$A$6:$H$105,7,FALSE),"No")&lt;&gt;"Sí","Recurso no activo",IF(OR($B205="",$H205="",$L205=""),"Faltan fecha u horarios",IF(OR($G205&gt;$H205,$H205&gt;$I205,$I205&gt;$J205,$J205&gt;$K205,$K205&gt;$L205),"Revisar secuencia horaria",IF(SUMPRODUCT(($B$6:$B$205=$B205)*($M$6:$M$205=$M205)*($H$6:$H$205&lt;$L205)*($L$6:$L$205&gt;$H205)*N($P$6:$P$205))&gt;N($R205),"Stock insuficiente",IF(AND($U205&lt;&gt;"",SUMPRODUCT(($B$6:$B$205=$B205)*($U$6:$U$205=$U205)*($A$6:$A$205&lt;&gt;$A205)*($H$6:$H$205&lt;$L205)*($L$6:$L$205&gt;$H205))&gt;0),"Vehículo solapado",IF(AND($Z205&lt;&gt;"",$J205&lt;&gt;"",$Z205&gt;$J205),"Entrega fuera de ventana",IF(AND($W205="Devuelto",N($Y205)&lt;N($X205)),"Devolución incompleta","")))))))))</f>
        <v/>
      </c>
      <c r="AF205" s="24">
        <f>IF($A205="","",IF(OR($B205="",$C205="",$D205="",$E205="",$H205="",$I205="",$J205="",$L205="",$M205="",$P205="",$U205="",$V205="",$W205=""),"Revisar",IF($AE205&lt;&gt;"","Revisar","Correcto")))</f>
        <v/>
      </c>
    </row>
  </sheetData>
  <mergeCells count="1">
    <mergeCell ref="A1:AF1"/>
  </mergeCells>
  <conditionalFormatting sqref="A6:AF205">
    <cfRule type="expression" priority="1" dxfId="2" stopIfTrue="1">
      <formula>$AE6&lt;&gt;""</formula>
    </cfRule>
    <cfRule type="expression" priority="2" dxfId="4" stopIfTrue="1">
      <formula>AND($AF6="Revisar",$AE6="")</formula>
    </cfRule>
    <cfRule type="expression" priority="3" dxfId="5">
      <formula>AND($AF6="Correcto",$W6="Preparado")</formula>
    </cfRule>
    <cfRule type="expression" priority="4" dxfId="6">
      <formula>OR($W6="Entregado",$W6="Devuelto")</formula>
    </cfRule>
  </conditionalFormatting>
  <conditionalFormatting sqref="V6:V205">
    <cfRule type="expression" priority="5" dxfId="0">
      <formula>$V6="Crítica"</formula>
    </cfRule>
  </conditionalFormatting>
  <conditionalFormatting sqref="AD6:AD205">
    <cfRule type="expression" priority="6" dxfId="3">
      <formula>AND($A6&lt;&gt;"",$AD6&gt;0)</formula>
    </cfRule>
    <cfRule type="expression" priority="7" dxfId="5">
      <formula>AND($A6&lt;&gt;"",$AD6=0)</formula>
    </cfRule>
  </conditionalFormatting>
  <dataValidations count="11">
    <dataValidation sqref="A6:A205" showDropDown="0" showInputMessage="0" showErrorMessage="1" allowBlank="0" errorTitle="Falta ID de expedición" error="Indique un ID de expedición para agrupar la línea." type="custom">
      <formula1>OR(A6&lt;&gt;"",COUNTA(B6:M6)=0)</formula1>
    </dataValidation>
    <dataValidation sqref="B6:B205" showDropDown="0" showInputMessage="0" showErrorMessage="1" allowBlank="0" error="Introduzca una fecha entre el 01/01/2020 y el 31/12/2035." type="date" operator="between">
      <formula1>DATE(2020,1,1)</formula1>
      <formula2>DATE(2035,12,31)</formula2>
    </dataValidation>
    <dataValidation sqref="F6:F205" showDropDown="0" showInputMessage="1" showErrorMessage="0" allowBlank="0" promptTitle="Teléfono operativo" prompt="Dato opcional. Utilice solo un contacto operativo si es imprescindible." type="custom">
      <formula1>TRUE</formula1>
    </dataValidation>
    <dataValidation sqref="G6:L205 Z6:AA205" showDropDown="0" showInputMessage="0" showErrorMessage="1" allowBlank="0" error="Introduzca una hora válida entre 00:00 y 23:59." type="time" operator="between">
      <formula1>TIME(0,0,0)</formula1>
      <formula2>TIME(23,59,59)</formula2>
    </dataValidation>
    <dataValidation sqref="M6:M205" showDropDown="0" showInputMessage="0" showErrorMessage="1" allowBlank="0" error="Seleccione un código existente en Recursos." type="list">
      <formula1>'Recursos'!$A$6:$A$105</formula1>
    </dataValidation>
    <dataValidation sqref="P6:P205" showDropDown="0" showInputMessage="0" showErrorMessage="1" allowBlank="0" error="Con un recurso indicado, la cantidad debe ser mayor que 0 y no superar 100000." type="custom">
      <formula1>OR($M6="",AND(ISNUMBER($P6),$P6&gt;0,$P6&lt;=100000))</formula1>
    </dataValidation>
    <dataValidation sqref="X6:Y205" showDropDown="0" showInputMessage="0" showErrorMessage="1" allowBlank="0" error="La cantidad debe estar entre 0 y 100000." type="decimal" operator="between">
      <formula1>0</formula1>
      <formula2>100000</formula2>
    </dataValidation>
    <dataValidation sqref="U6:U205" showDropDown="0" showInputMessage="0" showErrorMessage="1" allowBlank="0" error="Seleccione un vehículo del catálogo." type="list">
      <formula1>'Recursos'!$J$6:$J$25</formula1>
    </dataValidation>
    <dataValidation sqref="V6:V205" showDropDown="0" showInputMessage="0" showErrorMessage="0" allowBlank="0" type="list">
      <formula1>"Baja,Normal,Alta,Crítica"</formula1>
    </dataValidation>
    <dataValidation sqref="W6:W205" showDropDown="0" showInputMessage="0" showErrorMessage="0" allowBlank="0" type="list">
      <formula1>"Borrador,Pendiente,Preparado,En tránsito,Entregado,Devuelto,Cancelado"</formula1>
    </dataValidation>
    <dataValidation sqref="AB6:AB205" showDropDown="0" showInputMessage="0" showErrorMessage="0" allowBlank="0" type="list">
      <formula1>"No,Sí"</formula1>
    </dataValidation>
  </dataValidations>
  <pageMargins left="0.25" right="0.25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0" customWidth="1" min="3" max="3"/>
    <col width="18" customWidth="1" min="4" max="4"/>
    <col width="12" customWidth="1" min="5" max="5"/>
    <col width="19" customWidth="1" min="6" max="6"/>
    <col width="11" customWidth="1" min="7" max="7"/>
    <col width="30" customWidth="1" min="8" max="8"/>
    <col width="3" customWidth="1" min="9" max="9"/>
    <col width="20" customWidth="1" min="10" max="10"/>
    <col width="31" customWidth="1" min="11" max="11"/>
  </cols>
  <sheetData>
    <row r="1" ht="30" customHeight="1">
      <c r="A1" s="1" t="inlineStr">
        <is>
          <t>Catálogo de recursos</t>
        </is>
      </c>
    </row>
    <row r="2" ht="28" customHeight="1">
      <c r="A2" s="3" t="inlineStr">
        <is>
          <t>Edite stock, peso y disponibilidad. No cambie un código que ya esté utilizado en el plan.</t>
        </is>
      </c>
    </row>
    <row r="3"/>
    <row r="4"/>
    <row r="5" ht="36" customHeight="1">
      <c r="A5" s="9" t="inlineStr">
        <is>
          <t>Código</t>
        </is>
      </c>
      <c r="B5" s="9" t="inlineStr">
        <is>
          <t>Categoría</t>
        </is>
      </c>
      <c r="C5" s="9" t="inlineStr">
        <is>
          <t>Descripción</t>
        </is>
      </c>
      <c r="D5" s="9" t="inlineStr">
        <is>
          <t>Stock disponible</t>
        </is>
      </c>
      <c r="E5" s="9" t="inlineStr">
        <is>
          <t>Unidad</t>
        </is>
      </c>
      <c r="F5" s="9" t="inlineStr">
        <is>
          <t>Peso unitario (kg)</t>
        </is>
      </c>
      <c r="G5" s="9" t="inlineStr">
        <is>
          <t>Activo</t>
        </is>
      </c>
      <c r="H5" s="9" t="inlineStr">
        <is>
          <t>Observaciones</t>
        </is>
      </c>
      <c r="J5" s="9" t="inlineStr">
        <is>
          <t>Código de vehículo</t>
        </is>
      </c>
      <c r="K5" s="9" t="inlineStr">
        <is>
          <t>Descripción</t>
        </is>
      </c>
    </row>
    <row r="6">
      <c r="A6" s="18" t="inlineStr">
        <is>
          <t>CAM-001</t>
        </is>
      </c>
      <c r="B6" s="18" t="inlineStr">
        <is>
          <t>Cámara</t>
        </is>
      </c>
      <c r="C6" s="20" t="inlineStr">
        <is>
          <t>Cuerpo de cámara Aurora X</t>
        </is>
      </c>
      <c r="D6" s="25" t="n">
        <v>4</v>
      </c>
      <c r="E6" s="18" t="inlineStr">
        <is>
          <t>unidad</t>
        </is>
      </c>
      <c r="F6" s="28" t="n">
        <v>1.4</v>
      </c>
      <c r="G6" s="18" t="inlineStr">
        <is>
          <t>Sí</t>
        </is>
      </c>
      <c r="H6" s="20" t="inlineStr">
        <is>
          <t>Recurso ficticio</t>
        </is>
      </c>
      <c r="J6" s="20" t="inlineStr">
        <is>
          <t>VEH-01</t>
        </is>
      </c>
      <c r="K6" s="20" t="inlineStr">
        <is>
          <t>Furgoneta interna Nube</t>
        </is>
      </c>
    </row>
    <row r="7">
      <c r="A7" s="18" t="inlineStr">
        <is>
          <t>OPT-001</t>
        </is>
      </c>
      <c r="B7" s="18" t="inlineStr">
        <is>
          <t>Óptica</t>
        </is>
      </c>
      <c r="C7" s="20" t="inlineStr">
        <is>
          <t>Juego de ópticas Prisma</t>
        </is>
      </c>
      <c r="D7" s="25" t="n">
        <v>2</v>
      </c>
      <c r="E7" s="18" t="inlineStr">
        <is>
          <t>juego</t>
        </is>
      </c>
      <c r="F7" s="28" t="n">
        <v>8.5</v>
      </c>
      <c r="G7" s="18" t="inlineStr">
        <is>
          <t>Sí</t>
        </is>
      </c>
      <c r="H7" s="20" t="inlineStr">
        <is>
          <t>Maleta rígida</t>
        </is>
      </c>
      <c r="J7" s="20" t="inlineStr">
        <is>
          <t>VEH-02</t>
        </is>
      </c>
      <c r="K7" s="20" t="inlineStr">
        <is>
          <t>Vehículo interno Horizonte</t>
        </is>
      </c>
    </row>
    <row r="8">
      <c r="A8" s="18" t="inlineStr">
        <is>
          <t>LUZ-001</t>
        </is>
      </c>
      <c r="B8" s="18" t="inlineStr">
        <is>
          <t>Iluminación</t>
        </is>
      </c>
      <c r="C8" s="20" t="inlineStr">
        <is>
          <t>Panel LED Brisa 600</t>
        </is>
      </c>
      <c r="D8" s="25" t="n">
        <v>6</v>
      </c>
      <c r="E8" s="18" t="inlineStr">
        <is>
          <t>unidad</t>
        </is>
      </c>
      <c r="F8" s="28" t="n">
        <v>3.2</v>
      </c>
      <c r="G8" s="18" t="inlineStr">
        <is>
          <t>Sí</t>
        </is>
      </c>
      <c r="H8" s="20" t="inlineStr">
        <is>
          <t>Con fuente de alimentación</t>
        </is>
      </c>
      <c r="J8" s="20" t="inlineStr">
        <is>
          <t>VEH-03</t>
        </is>
      </c>
      <c r="K8" s="20" t="inlineStr">
        <is>
          <t>Furgón interno Prisma</t>
        </is>
      </c>
    </row>
    <row r="9">
      <c r="A9" s="18" t="inlineStr">
        <is>
          <t>LUZ-002</t>
        </is>
      </c>
      <c r="B9" s="18" t="inlineStr">
        <is>
          <t>Iluminación</t>
        </is>
      </c>
      <c r="C9" s="20" t="inlineStr">
        <is>
          <t>Tubo LED Cobalto</t>
        </is>
      </c>
      <c r="D9" s="25" t="n">
        <v>12</v>
      </c>
      <c r="E9" s="18" t="inlineStr">
        <is>
          <t>unidad</t>
        </is>
      </c>
      <c r="F9" s="28" t="n">
        <v>1.1</v>
      </c>
      <c r="G9" s="18" t="inlineStr">
        <is>
          <t>Sí</t>
        </is>
      </c>
      <c r="H9" s="20" t="inlineStr">
        <is>
          <t>Transporte en estuche</t>
        </is>
      </c>
      <c r="J9" s="20" t="inlineStr">
        <is>
          <t>VEH-04</t>
        </is>
      </c>
      <c r="K9" s="20" t="inlineStr">
        <is>
          <t>Turismo interno Bruma</t>
        </is>
      </c>
    </row>
    <row r="10">
      <c r="A10" s="18" t="inlineStr">
        <is>
          <t>SON-001</t>
        </is>
      </c>
      <c r="B10" s="18" t="inlineStr">
        <is>
          <t>Sonido</t>
        </is>
      </c>
      <c r="C10" s="20" t="inlineStr">
        <is>
          <t>Kit de sonido Horizonte</t>
        </is>
      </c>
      <c r="D10" s="25" t="n">
        <v>3</v>
      </c>
      <c r="E10" s="18" t="inlineStr">
        <is>
          <t>kit</t>
        </is>
      </c>
      <c r="F10" s="28" t="n">
        <v>4.8</v>
      </c>
      <c r="G10" s="18" t="inlineStr">
        <is>
          <t>Sí</t>
        </is>
      </c>
      <c r="H10" s="20" t="inlineStr">
        <is>
          <t>Incluye pértiga</t>
        </is>
      </c>
      <c r="J10" s="20" t="n"/>
      <c r="K10" s="20" t="n"/>
    </row>
    <row r="11">
      <c r="A11" s="18" t="inlineStr">
        <is>
          <t>ENE-001</t>
        </is>
      </c>
      <c r="B11" s="18" t="inlineStr">
        <is>
          <t>Energía</t>
        </is>
      </c>
      <c r="C11" s="20" t="inlineStr">
        <is>
          <t>Batería V-Mount Nube</t>
        </is>
      </c>
      <c r="D11" s="25" t="n">
        <v>10</v>
      </c>
      <c r="E11" s="18" t="inlineStr">
        <is>
          <t>unidad</t>
        </is>
      </c>
      <c r="F11" s="28" t="n">
        <v>1</v>
      </c>
      <c r="G11" s="18" t="inlineStr">
        <is>
          <t>Sí</t>
        </is>
      </c>
      <c r="H11" s="20" t="inlineStr">
        <is>
          <t>Entregar cargada</t>
        </is>
      </c>
      <c r="J11" s="20" t="n"/>
      <c r="K11" s="20" t="n"/>
    </row>
    <row r="12">
      <c r="A12" s="18" t="inlineStr">
        <is>
          <t>SOP-001</t>
        </is>
      </c>
      <c r="B12" s="18" t="inlineStr">
        <is>
          <t>Soporte</t>
        </is>
      </c>
      <c r="C12" s="20" t="inlineStr">
        <is>
          <t>Trípode Atlas</t>
        </is>
      </c>
      <c r="D12" s="25" t="n">
        <v>5</v>
      </c>
      <c r="E12" s="18" t="inlineStr">
        <is>
          <t>unidad</t>
        </is>
      </c>
      <c r="F12" s="28" t="n">
        <v>6.3</v>
      </c>
      <c r="G12" s="18" t="inlineStr">
        <is>
          <t>Sí</t>
        </is>
      </c>
      <c r="H12" s="20" t="inlineStr">
        <is>
          <t>Con bolsa</t>
        </is>
      </c>
      <c r="J12" s="20" t="n"/>
      <c r="K12" s="20" t="n"/>
    </row>
    <row r="13">
      <c r="A13" s="18" t="inlineStr">
        <is>
          <t>ACC-001</t>
        </is>
      </c>
      <c r="B13" s="18" t="inlineStr">
        <is>
          <t>Accesorio</t>
        </is>
      </c>
      <c r="C13" s="20" t="inlineStr">
        <is>
          <t>Pinza técnica Lumen</t>
        </is>
      </c>
      <c r="D13" s="25" t="n">
        <v>20</v>
      </c>
      <c r="E13" s="18" t="inlineStr">
        <is>
          <t>unidad</t>
        </is>
      </c>
      <c r="F13" s="28" t="n">
        <v>0.35</v>
      </c>
      <c r="G13" s="18" t="inlineStr">
        <is>
          <t>Sí</t>
        </is>
      </c>
      <c r="H13" s="20" t="inlineStr">
        <is>
          <t>Revisar retorno</t>
        </is>
      </c>
      <c r="J13" s="20" t="n"/>
      <c r="K13" s="20" t="n"/>
    </row>
    <row r="14">
      <c r="A14" s="18" t="inlineStr">
        <is>
          <t>MON-001</t>
        </is>
      </c>
      <c r="B14" s="18" t="inlineStr">
        <is>
          <t>Monitor</t>
        </is>
      </c>
      <c r="C14" s="20" t="inlineStr">
        <is>
          <t>Monitor de dirección Vega</t>
        </is>
      </c>
      <c r="D14" s="25" t="n">
        <v>2</v>
      </c>
      <c r="E14" s="18" t="inlineStr">
        <is>
          <t>unidad</t>
        </is>
      </c>
      <c r="F14" s="28" t="n">
        <v>5.5</v>
      </c>
      <c r="G14" s="18" t="inlineStr">
        <is>
          <t>Sí</t>
        </is>
      </c>
      <c r="H14" s="20" t="inlineStr">
        <is>
          <t>Recurso ficticio</t>
        </is>
      </c>
      <c r="J14" s="20" t="n"/>
      <c r="K14" s="20" t="n"/>
    </row>
    <row r="15">
      <c r="A15" s="18" t="inlineStr">
        <is>
          <t>DAT-001</t>
        </is>
      </c>
      <c r="B15" s="18" t="inlineStr">
        <is>
          <t>Datos</t>
        </is>
      </c>
      <c r="C15" s="20" t="inlineStr">
        <is>
          <t>Estación de descarga Órbita</t>
        </is>
      </c>
      <c r="D15" s="25" t="n">
        <v>1</v>
      </c>
      <c r="E15" s="18" t="inlineStr">
        <is>
          <t>unidad</t>
        </is>
      </c>
      <c r="F15" s="28" t="n">
        <v>7</v>
      </c>
      <c r="G15" s="18" t="inlineStr">
        <is>
          <t>No</t>
        </is>
      </c>
      <c r="H15" s="20" t="inlineStr">
        <is>
          <t>Temporalmente no disponible</t>
        </is>
      </c>
      <c r="J15" s="20" t="n"/>
      <c r="K15" s="20" t="n"/>
    </row>
    <row r="16">
      <c r="A16" s="18" t="n"/>
      <c r="B16" s="18" t="n"/>
      <c r="C16" s="20" t="n"/>
      <c r="D16" s="25" t="n"/>
      <c r="E16" s="18" t="n"/>
      <c r="F16" s="28" t="n"/>
      <c r="G16" s="18" t="n"/>
      <c r="H16" s="20" t="n"/>
      <c r="J16" s="20" t="n"/>
      <c r="K16" s="20" t="n"/>
    </row>
    <row r="17">
      <c r="A17" s="18" t="n"/>
      <c r="B17" s="18" t="n"/>
      <c r="C17" s="20" t="n"/>
      <c r="D17" s="25" t="n"/>
      <c r="E17" s="18" t="n"/>
      <c r="F17" s="28" t="n"/>
      <c r="G17" s="18" t="n"/>
      <c r="H17" s="20" t="n"/>
      <c r="J17" s="20" t="n"/>
      <c r="K17" s="20" t="n"/>
    </row>
    <row r="18">
      <c r="A18" s="18" t="n"/>
      <c r="B18" s="18" t="n"/>
      <c r="C18" s="20" t="n"/>
      <c r="D18" s="25" t="n"/>
      <c r="E18" s="18" t="n"/>
      <c r="F18" s="28" t="n"/>
      <c r="G18" s="18" t="n"/>
      <c r="H18" s="20" t="n"/>
      <c r="J18" s="20" t="n"/>
      <c r="K18" s="20" t="n"/>
    </row>
    <row r="19">
      <c r="A19" s="18" t="n"/>
      <c r="B19" s="18" t="n"/>
      <c r="C19" s="20" t="n"/>
      <c r="D19" s="25" t="n"/>
      <c r="E19" s="18" t="n"/>
      <c r="F19" s="28" t="n"/>
      <c r="G19" s="18" t="n"/>
      <c r="H19" s="20" t="n"/>
      <c r="J19" s="20" t="n"/>
      <c r="K19" s="20" t="n"/>
    </row>
    <row r="20">
      <c r="A20" s="18" t="n"/>
      <c r="B20" s="18" t="n"/>
      <c r="C20" s="20" t="n"/>
      <c r="D20" s="25" t="n"/>
      <c r="E20" s="18" t="n"/>
      <c r="F20" s="28" t="n"/>
      <c r="G20" s="18" t="n"/>
      <c r="H20" s="20" t="n"/>
      <c r="J20" s="20" t="n"/>
      <c r="K20" s="20" t="n"/>
    </row>
    <row r="21">
      <c r="A21" s="18" t="n"/>
      <c r="B21" s="18" t="n"/>
      <c r="C21" s="20" t="n"/>
      <c r="D21" s="25" t="n"/>
      <c r="E21" s="18" t="n"/>
      <c r="F21" s="28" t="n"/>
      <c r="G21" s="18" t="n"/>
      <c r="H21" s="20" t="n"/>
      <c r="J21" s="20" t="n"/>
      <c r="K21" s="20" t="n"/>
    </row>
    <row r="22">
      <c r="A22" s="18" t="n"/>
      <c r="B22" s="18" t="n"/>
      <c r="C22" s="20" t="n"/>
      <c r="D22" s="25" t="n"/>
      <c r="E22" s="18" t="n"/>
      <c r="F22" s="28" t="n"/>
      <c r="G22" s="18" t="n"/>
      <c r="H22" s="20" t="n"/>
      <c r="J22" s="20" t="n"/>
      <c r="K22" s="20" t="n"/>
    </row>
    <row r="23">
      <c r="A23" s="18" t="n"/>
      <c r="B23" s="18" t="n"/>
      <c r="C23" s="20" t="n"/>
      <c r="D23" s="25" t="n"/>
      <c r="E23" s="18" t="n"/>
      <c r="F23" s="28" t="n"/>
      <c r="G23" s="18" t="n"/>
      <c r="H23" s="20" t="n"/>
      <c r="J23" s="20" t="n"/>
      <c r="K23" s="20" t="n"/>
    </row>
    <row r="24">
      <c r="A24" s="18" t="n"/>
      <c r="B24" s="18" t="n"/>
      <c r="C24" s="20" t="n"/>
      <c r="D24" s="25" t="n"/>
      <c r="E24" s="18" t="n"/>
      <c r="F24" s="28" t="n"/>
      <c r="G24" s="18" t="n"/>
      <c r="H24" s="20" t="n"/>
      <c r="J24" s="20" t="n"/>
      <c r="K24" s="20" t="n"/>
    </row>
    <row r="25">
      <c r="A25" s="18" t="n"/>
      <c r="B25" s="18" t="n"/>
      <c r="C25" s="20" t="n"/>
      <c r="D25" s="25" t="n"/>
      <c r="E25" s="18" t="n"/>
      <c r="F25" s="28" t="n"/>
      <c r="G25" s="18" t="n"/>
      <c r="H25" s="20" t="n"/>
      <c r="J25" s="20" t="n"/>
      <c r="K25" s="20" t="n"/>
    </row>
    <row r="26">
      <c r="A26" s="18" t="n"/>
      <c r="B26" s="18" t="n"/>
      <c r="C26" s="20" t="n"/>
      <c r="D26" s="25" t="n"/>
      <c r="E26" s="18" t="n"/>
      <c r="F26" s="28" t="n"/>
      <c r="G26" s="18" t="n"/>
      <c r="H26" s="20" t="n"/>
    </row>
    <row r="27">
      <c r="A27" s="18" t="n"/>
      <c r="B27" s="18" t="n"/>
      <c r="C27" s="20" t="n"/>
      <c r="D27" s="25" t="n"/>
      <c r="E27" s="18" t="n"/>
      <c r="F27" s="28" t="n"/>
      <c r="G27" s="18" t="n"/>
      <c r="H27" s="20" t="n"/>
    </row>
    <row r="28">
      <c r="A28" s="18" t="n"/>
      <c r="B28" s="18" t="n"/>
      <c r="C28" s="20" t="n"/>
      <c r="D28" s="25" t="n"/>
      <c r="E28" s="18" t="n"/>
      <c r="F28" s="28" t="n"/>
      <c r="G28" s="18" t="n"/>
      <c r="H28" s="20" t="n"/>
    </row>
    <row r="29">
      <c r="A29" s="18" t="n"/>
      <c r="B29" s="18" t="n"/>
      <c r="C29" s="20" t="n"/>
      <c r="D29" s="25" t="n"/>
      <c r="E29" s="18" t="n"/>
      <c r="F29" s="28" t="n"/>
      <c r="G29" s="18" t="n"/>
      <c r="H29" s="20" t="n"/>
    </row>
    <row r="30">
      <c r="A30" s="18" t="n"/>
      <c r="B30" s="18" t="n"/>
      <c r="C30" s="20" t="n"/>
      <c r="D30" s="25" t="n"/>
      <c r="E30" s="18" t="n"/>
      <c r="F30" s="28" t="n"/>
      <c r="G30" s="18" t="n"/>
      <c r="H30" s="20" t="n"/>
    </row>
    <row r="31">
      <c r="A31" s="18" t="n"/>
      <c r="B31" s="18" t="n"/>
      <c r="C31" s="20" t="n"/>
      <c r="D31" s="25" t="n"/>
      <c r="E31" s="18" t="n"/>
      <c r="F31" s="28" t="n"/>
      <c r="G31" s="18" t="n"/>
      <c r="H31" s="20" t="n"/>
    </row>
    <row r="32">
      <c r="A32" s="18" t="n"/>
      <c r="B32" s="18" t="n"/>
      <c r="C32" s="20" t="n"/>
      <c r="D32" s="25" t="n"/>
      <c r="E32" s="18" t="n"/>
      <c r="F32" s="28" t="n"/>
      <c r="G32" s="18" t="n"/>
      <c r="H32" s="20" t="n"/>
    </row>
    <row r="33">
      <c r="A33" s="18" t="n"/>
      <c r="B33" s="18" t="n"/>
      <c r="C33" s="20" t="n"/>
      <c r="D33" s="25" t="n"/>
      <c r="E33" s="18" t="n"/>
      <c r="F33" s="28" t="n"/>
      <c r="G33" s="18" t="n"/>
      <c r="H33" s="20" t="n"/>
    </row>
    <row r="34">
      <c r="A34" s="18" t="n"/>
      <c r="B34" s="18" t="n"/>
      <c r="C34" s="20" t="n"/>
      <c r="D34" s="25" t="n"/>
      <c r="E34" s="18" t="n"/>
      <c r="F34" s="28" t="n"/>
      <c r="G34" s="18" t="n"/>
      <c r="H34" s="20" t="n"/>
    </row>
    <row r="35">
      <c r="A35" s="18" t="n"/>
      <c r="B35" s="18" t="n"/>
      <c r="C35" s="20" t="n"/>
      <c r="D35" s="25" t="n"/>
      <c r="E35" s="18" t="n"/>
      <c r="F35" s="28" t="n"/>
      <c r="G35" s="18" t="n"/>
      <c r="H35" s="20" t="n"/>
    </row>
    <row r="36">
      <c r="A36" s="18" t="n"/>
      <c r="B36" s="18" t="n"/>
      <c r="C36" s="20" t="n"/>
      <c r="D36" s="25" t="n"/>
      <c r="E36" s="18" t="n"/>
      <c r="F36" s="28" t="n"/>
      <c r="G36" s="18" t="n"/>
      <c r="H36" s="20" t="n"/>
    </row>
    <row r="37">
      <c r="A37" s="18" t="n"/>
      <c r="B37" s="18" t="n"/>
      <c r="C37" s="20" t="n"/>
      <c r="D37" s="25" t="n"/>
      <c r="E37" s="18" t="n"/>
      <c r="F37" s="28" t="n"/>
      <c r="G37" s="18" t="n"/>
      <c r="H37" s="20" t="n"/>
    </row>
    <row r="38">
      <c r="A38" s="18" t="n"/>
      <c r="B38" s="18" t="n"/>
      <c r="C38" s="20" t="n"/>
      <c r="D38" s="25" t="n"/>
      <c r="E38" s="18" t="n"/>
      <c r="F38" s="28" t="n"/>
      <c r="G38" s="18" t="n"/>
      <c r="H38" s="20" t="n"/>
    </row>
    <row r="39">
      <c r="A39" s="18" t="n"/>
      <c r="B39" s="18" t="n"/>
      <c r="C39" s="20" t="n"/>
      <c r="D39" s="25" t="n"/>
      <c r="E39" s="18" t="n"/>
      <c r="F39" s="28" t="n"/>
      <c r="G39" s="18" t="n"/>
      <c r="H39" s="20" t="n"/>
    </row>
    <row r="40">
      <c r="A40" s="18" t="n"/>
      <c r="B40" s="18" t="n"/>
      <c r="C40" s="20" t="n"/>
      <c r="D40" s="25" t="n"/>
      <c r="E40" s="18" t="n"/>
      <c r="F40" s="28" t="n"/>
      <c r="G40" s="18" t="n"/>
      <c r="H40" s="20" t="n"/>
    </row>
    <row r="41">
      <c r="A41" s="18" t="n"/>
      <c r="B41" s="18" t="n"/>
      <c r="C41" s="20" t="n"/>
      <c r="D41" s="25" t="n"/>
      <c r="E41" s="18" t="n"/>
      <c r="F41" s="28" t="n"/>
      <c r="G41" s="18" t="n"/>
      <c r="H41" s="20" t="n"/>
    </row>
    <row r="42">
      <c r="A42" s="18" t="n"/>
      <c r="B42" s="18" t="n"/>
      <c r="C42" s="20" t="n"/>
      <c r="D42" s="25" t="n"/>
      <c r="E42" s="18" t="n"/>
      <c r="F42" s="28" t="n"/>
      <c r="G42" s="18" t="n"/>
      <c r="H42" s="20" t="n"/>
    </row>
    <row r="43">
      <c r="A43" s="18" t="n"/>
      <c r="B43" s="18" t="n"/>
      <c r="C43" s="20" t="n"/>
      <c r="D43" s="25" t="n"/>
      <c r="E43" s="18" t="n"/>
      <c r="F43" s="28" t="n"/>
      <c r="G43" s="18" t="n"/>
      <c r="H43" s="20" t="n"/>
    </row>
    <row r="44">
      <c r="A44" s="18" t="n"/>
      <c r="B44" s="18" t="n"/>
      <c r="C44" s="20" t="n"/>
      <c r="D44" s="25" t="n"/>
      <c r="E44" s="18" t="n"/>
      <c r="F44" s="28" t="n"/>
      <c r="G44" s="18" t="n"/>
      <c r="H44" s="20" t="n"/>
    </row>
    <row r="45">
      <c r="A45" s="18" t="n"/>
      <c r="B45" s="18" t="n"/>
      <c r="C45" s="20" t="n"/>
      <c r="D45" s="25" t="n"/>
      <c r="E45" s="18" t="n"/>
      <c r="F45" s="28" t="n"/>
      <c r="G45" s="18" t="n"/>
      <c r="H45" s="20" t="n"/>
    </row>
    <row r="46">
      <c r="A46" s="18" t="n"/>
      <c r="B46" s="18" t="n"/>
      <c r="C46" s="20" t="n"/>
      <c r="D46" s="25" t="n"/>
      <c r="E46" s="18" t="n"/>
      <c r="F46" s="28" t="n"/>
      <c r="G46" s="18" t="n"/>
      <c r="H46" s="20" t="n"/>
    </row>
    <row r="47">
      <c r="A47" s="18" t="n"/>
      <c r="B47" s="18" t="n"/>
      <c r="C47" s="20" t="n"/>
      <c r="D47" s="25" t="n"/>
      <c r="E47" s="18" t="n"/>
      <c r="F47" s="28" t="n"/>
      <c r="G47" s="18" t="n"/>
      <c r="H47" s="20" t="n"/>
    </row>
    <row r="48">
      <c r="A48" s="18" t="n"/>
      <c r="B48" s="18" t="n"/>
      <c r="C48" s="20" t="n"/>
      <c r="D48" s="25" t="n"/>
      <c r="E48" s="18" t="n"/>
      <c r="F48" s="28" t="n"/>
      <c r="G48" s="18" t="n"/>
      <c r="H48" s="20" t="n"/>
    </row>
    <row r="49">
      <c r="A49" s="18" t="n"/>
      <c r="B49" s="18" t="n"/>
      <c r="C49" s="20" t="n"/>
      <c r="D49" s="25" t="n"/>
      <c r="E49" s="18" t="n"/>
      <c r="F49" s="28" t="n"/>
      <c r="G49" s="18" t="n"/>
      <c r="H49" s="20" t="n"/>
    </row>
    <row r="50">
      <c r="A50" s="18" t="n"/>
      <c r="B50" s="18" t="n"/>
      <c r="C50" s="20" t="n"/>
      <c r="D50" s="25" t="n"/>
      <c r="E50" s="18" t="n"/>
      <c r="F50" s="28" t="n"/>
      <c r="G50" s="18" t="n"/>
      <c r="H50" s="20" t="n"/>
    </row>
    <row r="51">
      <c r="A51" s="18" t="n"/>
      <c r="B51" s="18" t="n"/>
      <c r="C51" s="20" t="n"/>
      <c r="D51" s="25" t="n"/>
      <c r="E51" s="18" t="n"/>
      <c r="F51" s="28" t="n"/>
      <c r="G51" s="18" t="n"/>
      <c r="H51" s="20" t="n"/>
    </row>
    <row r="52">
      <c r="A52" s="18" t="n"/>
      <c r="B52" s="18" t="n"/>
      <c r="C52" s="20" t="n"/>
      <c r="D52" s="25" t="n"/>
      <c r="E52" s="18" t="n"/>
      <c r="F52" s="28" t="n"/>
      <c r="G52" s="18" t="n"/>
      <c r="H52" s="20" t="n"/>
    </row>
    <row r="53">
      <c r="A53" s="18" t="n"/>
      <c r="B53" s="18" t="n"/>
      <c r="C53" s="20" t="n"/>
      <c r="D53" s="25" t="n"/>
      <c r="E53" s="18" t="n"/>
      <c r="F53" s="28" t="n"/>
      <c r="G53" s="18" t="n"/>
      <c r="H53" s="20" t="n"/>
    </row>
    <row r="54">
      <c r="A54" s="18" t="n"/>
      <c r="B54" s="18" t="n"/>
      <c r="C54" s="20" t="n"/>
      <c r="D54" s="25" t="n"/>
      <c r="E54" s="18" t="n"/>
      <c r="F54" s="28" t="n"/>
      <c r="G54" s="18" t="n"/>
      <c r="H54" s="20" t="n"/>
    </row>
    <row r="55">
      <c r="A55" s="18" t="n"/>
      <c r="B55" s="18" t="n"/>
      <c r="C55" s="20" t="n"/>
      <c r="D55" s="25" t="n"/>
      <c r="E55" s="18" t="n"/>
      <c r="F55" s="28" t="n"/>
      <c r="G55" s="18" t="n"/>
      <c r="H55" s="20" t="n"/>
    </row>
    <row r="56">
      <c r="A56" s="18" t="n"/>
      <c r="B56" s="18" t="n"/>
      <c r="C56" s="20" t="n"/>
      <c r="D56" s="25" t="n"/>
      <c r="E56" s="18" t="n"/>
      <c r="F56" s="28" t="n"/>
      <c r="G56" s="18" t="n"/>
      <c r="H56" s="20" t="n"/>
    </row>
    <row r="57">
      <c r="A57" s="18" t="n"/>
      <c r="B57" s="18" t="n"/>
      <c r="C57" s="20" t="n"/>
      <c r="D57" s="25" t="n"/>
      <c r="E57" s="18" t="n"/>
      <c r="F57" s="28" t="n"/>
      <c r="G57" s="18" t="n"/>
      <c r="H57" s="20" t="n"/>
    </row>
    <row r="58">
      <c r="A58" s="18" t="n"/>
      <c r="B58" s="18" t="n"/>
      <c r="C58" s="20" t="n"/>
      <c r="D58" s="25" t="n"/>
      <c r="E58" s="18" t="n"/>
      <c r="F58" s="28" t="n"/>
      <c r="G58" s="18" t="n"/>
      <c r="H58" s="20" t="n"/>
    </row>
    <row r="59">
      <c r="A59" s="18" t="n"/>
      <c r="B59" s="18" t="n"/>
      <c r="C59" s="20" t="n"/>
      <c r="D59" s="25" t="n"/>
      <c r="E59" s="18" t="n"/>
      <c r="F59" s="28" t="n"/>
      <c r="G59" s="18" t="n"/>
      <c r="H59" s="20" t="n"/>
    </row>
    <row r="60">
      <c r="A60" s="18" t="n"/>
      <c r="B60" s="18" t="n"/>
      <c r="C60" s="20" t="n"/>
      <c r="D60" s="25" t="n"/>
      <c r="E60" s="18" t="n"/>
      <c r="F60" s="28" t="n"/>
      <c r="G60" s="18" t="n"/>
      <c r="H60" s="20" t="n"/>
    </row>
    <row r="61">
      <c r="A61" s="18" t="n"/>
      <c r="B61" s="18" t="n"/>
      <c r="C61" s="20" t="n"/>
      <c r="D61" s="25" t="n"/>
      <c r="E61" s="18" t="n"/>
      <c r="F61" s="28" t="n"/>
      <c r="G61" s="18" t="n"/>
      <c r="H61" s="20" t="n"/>
    </row>
    <row r="62">
      <c r="A62" s="18" t="n"/>
      <c r="B62" s="18" t="n"/>
      <c r="C62" s="20" t="n"/>
      <c r="D62" s="25" t="n"/>
      <c r="E62" s="18" t="n"/>
      <c r="F62" s="28" t="n"/>
      <c r="G62" s="18" t="n"/>
      <c r="H62" s="20" t="n"/>
    </row>
    <row r="63">
      <c r="A63" s="18" t="n"/>
      <c r="B63" s="18" t="n"/>
      <c r="C63" s="20" t="n"/>
      <c r="D63" s="25" t="n"/>
      <c r="E63" s="18" t="n"/>
      <c r="F63" s="28" t="n"/>
      <c r="G63" s="18" t="n"/>
      <c r="H63" s="20" t="n"/>
    </row>
    <row r="64">
      <c r="A64" s="18" t="n"/>
      <c r="B64" s="18" t="n"/>
      <c r="C64" s="20" t="n"/>
      <c r="D64" s="25" t="n"/>
      <c r="E64" s="18" t="n"/>
      <c r="F64" s="28" t="n"/>
      <c r="G64" s="18" t="n"/>
      <c r="H64" s="20" t="n"/>
    </row>
    <row r="65">
      <c r="A65" s="18" t="n"/>
      <c r="B65" s="18" t="n"/>
      <c r="C65" s="20" t="n"/>
      <c r="D65" s="25" t="n"/>
      <c r="E65" s="18" t="n"/>
      <c r="F65" s="28" t="n"/>
      <c r="G65" s="18" t="n"/>
      <c r="H65" s="20" t="n"/>
    </row>
    <row r="66">
      <c r="A66" s="18" t="n"/>
      <c r="B66" s="18" t="n"/>
      <c r="C66" s="20" t="n"/>
      <c r="D66" s="25" t="n"/>
      <c r="E66" s="18" t="n"/>
      <c r="F66" s="28" t="n"/>
      <c r="G66" s="18" t="n"/>
      <c r="H66" s="20" t="n"/>
    </row>
    <row r="67">
      <c r="A67" s="18" t="n"/>
      <c r="B67" s="18" t="n"/>
      <c r="C67" s="20" t="n"/>
      <c r="D67" s="25" t="n"/>
      <c r="E67" s="18" t="n"/>
      <c r="F67" s="28" t="n"/>
      <c r="G67" s="18" t="n"/>
      <c r="H67" s="20" t="n"/>
    </row>
    <row r="68">
      <c r="A68" s="18" t="n"/>
      <c r="B68" s="18" t="n"/>
      <c r="C68" s="20" t="n"/>
      <c r="D68" s="25" t="n"/>
      <c r="E68" s="18" t="n"/>
      <c r="F68" s="28" t="n"/>
      <c r="G68" s="18" t="n"/>
      <c r="H68" s="20" t="n"/>
    </row>
    <row r="69">
      <c r="A69" s="18" t="n"/>
      <c r="B69" s="18" t="n"/>
      <c r="C69" s="20" t="n"/>
      <c r="D69" s="25" t="n"/>
      <c r="E69" s="18" t="n"/>
      <c r="F69" s="28" t="n"/>
      <c r="G69" s="18" t="n"/>
      <c r="H69" s="20" t="n"/>
    </row>
    <row r="70">
      <c r="A70" s="18" t="n"/>
      <c r="B70" s="18" t="n"/>
      <c r="C70" s="20" t="n"/>
      <c r="D70" s="25" t="n"/>
      <c r="E70" s="18" t="n"/>
      <c r="F70" s="28" t="n"/>
      <c r="G70" s="18" t="n"/>
      <c r="H70" s="20" t="n"/>
    </row>
    <row r="71">
      <c r="A71" s="18" t="n"/>
      <c r="B71" s="18" t="n"/>
      <c r="C71" s="20" t="n"/>
      <c r="D71" s="25" t="n"/>
      <c r="E71" s="18" t="n"/>
      <c r="F71" s="28" t="n"/>
      <c r="G71" s="18" t="n"/>
      <c r="H71" s="20" t="n"/>
    </row>
    <row r="72">
      <c r="A72" s="18" t="n"/>
      <c r="B72" s="18" t="n"/>
      <c r="C72" s="20" t="n"/>
      <c r="D72" s="25" t="n"/>
      <c r="E72" s="18" t="n"/>
      <c r="F72" s="28" t="n"/>
      <c r="G72" s="18" t="n"/>
      <c r="H72" s="20" t="n"/>
    </row>
    <row r="73">
      <c r="A73" s="18" t="n"/>
      <c r="B73" s="18" t="n"/>
      <c r="C73" s="20" t="n"/>
      <c r="D73" s="25" t="n"/>
      <c r="E73" s="18" t="n"/>
      <c r="F73" s="28" t="n"/>
      <c r="G73" s="18" t="n"/>
      <c r="H73" s="20" t="n"/>
    </row>
    <row r="74">
      <c r="A74" s="18" t="n"/>
      <c r="B74" s="18" t="n"/>
      <c r="C74" s="20" t="n"/>
      <c r="D74" s="25" t="n"/>
      <c r="E74" s="18" t="n"/>
      <c r="F74" s="28" t="n"/>
      <c r="G74" s="18" t="n"/>
      <c r="H74" s="20" t="n"/>
    </row>
    <row r="75">
      <c r="A75" s="18" t="n"/>
      <c r="B75" s="18" t="n"/>
      <c r="C75" s="20" t="n"/>
      <c r="D75" s="25" t="n"/>
      <c r="E75" s="18" t="n"/>
      <c r="F75" s="28" t="n"/>
      <c r="G75" s="18" t="n"/>
      <c r="H75" s="20" t="n"/>
    </row>
    <row r="76">
      <c r="A76" s="18" t="n"/>
      <c r="B76" s="18" t="n"/>
      <c r="C76" s="20" t="n"/>
      <c r="D76" s="25" t="n"/>
      <c r="E76" s="18" t="n"/>
      <c r="F76" s="28" t="n"/>
      <c r="G76" s="18" t="n"/>
      <c r="H76" s="20" t="n"/>
    </row>
    <row r="77">
      <c r="A77" s="18" t="n"/>
      <c r="B77" s="18" t="n"/>
      <c r="C77" s="20" t="n"/>
      <c r="D77" s="25" t="n"/>
      <c r="E77" s="18" t="n"/>
      <c r="F77" s="28" t="n"/>
      <c r="G77" s="18" t="n"/>
      <c r="H77" s="20" t="n"/>
    </row>
    <row r="78">
      <c r="A78" s="18" t="n"/>
      <c r="B78" s="18" t="n"/>
      <c r="C78" s="20" t="n"/>
      <c r="D78" s="25" t="n"/>
      <c r="E78" s="18" t="n"/>
      <c r="F78" s="28" t="n"/>
      <c r="G78" s="18" t="n"/>
      <c r="H78" s="20" t="n"/>
    </row>
    <row r="79">
      <c r="A79" s="18" t="n"/>
      <c r="B79" s="18" t="n"/>
      <c r="C79" s="20" t="n"/>
      <c r="D79" s="25" t="n"/>
      <c r="E79" s="18" t="n"/>
      <c r="F79" s="28" t="n"/>
      <c r="G79" s="18" t="n"/>
      <c r="H79" s="20" t="n"/>
    </row>
    <row r="80">
      <c r="A80" s="18" t="n"/>
      <c r="B80" s="18" t="n"/>
      <c r="C80" s="20" t="n"/>
      <c r="D80" s="25" t="n"/>
      <c r="E80" s="18" t="n"/>
      <c r="F80" s="28" t="n"/>
      <c r="G80" s="18" t="n"/>
      <c r="H80" s="20" t="n"/>
    </row>
    <row r="81">
      <c r="A81" s="18" t="n"/>
      <c r="B81" s="18" t="n"/>
      <c r="C81" s="20" t="n"/>
      <c r="D81" s="25" t="n"/>
      <c r="E81" s="18" t="n"/>
      <c r="F81" s="28" t="n"/>
      <c r="G81" s="18" t="n"/>
      <c r="H81" s="20" t="n"/>
    </row>
    <row r="82">
      <c r="A82" s="18" t="n"/>
      <c r="B82" s="18" t="n"/>
      <c r="C82" s="20" t="n"/>
      <c r="D82" s="25" t="n"/>
      <c r="E82" s="18" t="n"/>
      <c r="F82" s="28" t="n"/>
      <c r="G82" s="18" t="n"/>
      <c r="H82" s="20" t="n"/>
    </row>
    <row r="83">
      <c r="A83" s="18" t="n"/>
      <c r="B83" s="18" t="n"/>
      <c r="C83" s="20" t="n"/>
      <c r="D83" s="25" t="n"/>
      <c r="E83" s="18" t="n"/>
      <c r="F83" s="28" t="n"/>
      <c r="G83" s="18" t="n"/>
      <c r="H83" s="20" t="n"/>
    </row>
    <row r="84">
      <c r="A84" s="18" t="n"/>
      <c r="B84" s="18" t="n"/>
      <c r="C84" s="20" t="n"/>
      <c r="D84" s="25" t="n"/>
      <c r="E84" s="18" t="n"/>
      <c r="F84" s="28" t="n"/>
      <c r="G84" s="18" t="n"/>
      <c r="H84" s="20" t="n"/>
    </row>
    <row r="85">
      <c r="A85" s="18" t="n"/>
      <c r="B85" s="18" t="n"/>
      <c r="C85" s="20" t="n"/>
      <c r="D85" s="25" t="n"/>
      <c r="E85" s="18" t="n"/>
      <c r="F85" s="28" t="n"/>
      <c r="G85" s="18" t="n"/>
      <c r="H85" s="20" t="n"/>
    </row>
    <row r="86">
      <c r="A86" s="18" t="n"/>
      <c r="B86" s="18" t="n"/>
      <c r="C86" s="20" t="n"/>
      <c r="D86" s="25" t="n"/>
      <c r="E86" s="18" t="n"/>
      <c r="F86" s="28" t="n"/>
      <c r="G86" s="18" t="n"/>
      <c r="H86" s="20" t="n"/>
    </row>
    <row r="87">
      <c r="A87" s="18" t="n"/>
      <c r="B87" s="18" t="n"/>
      <c r="C87" s="20" t="n"/>
      <c r="D87" s="25" t="n"/>
      <c r="E87" s="18" t="n"/>
      <c r="F87" s="28" t="n"/>
      <c r="G87" s="18" t="n"/>
      <c r="H87" s="20" t="n"/>
    </row>
    <row r="88">
      <c r="A88" s="18" t="n"/>
      <c r="B88" s="18" t="n"/>
      <c r="C88" s="20" t="n"/>
      <c r="D88" s="25" t="n"/>
      <c r="E88" s="18" t="n"/>
      <c r="F88" s="28" t="n"/>
      <c r="G88" s="18" t="n"/>
      <c r="H88" s="20" t="n"/>
    </row>
    <row r="89">
      <c r="A89" s="18" t="n"/>
      <c r="B89" s="18" t="n"/>
      <c r="C89" s="20" t="n"/>
      <c r="D89" s="25" t="n"/>
      <c r="E89" s="18" t="n"/>
      <c r="F89" s="28" t="n"/>
      <c r="G89" s="18" t="n"/>
      <c r="H89" s="20" t="n"/>
    </row>
    <row r="90">
      <c r="A90" s="18" t="n"/>
      <c r="B90" s="18" t="n"/>
      <c r="C90" s="20" t="n"/>
      <c r="D90" s="25" t="n"/>
      <c r="E90" s="18" t="n"/>
      <c r="F90" s="28" t="n"/>
      <c r="G90" s="18" t="n"/>
      <c r="H90" s="20" t="n"/>
    </row>
    <row r="91">
      <c r="A91" s="18" t="n"/>
      <c r="B91" s="18" t="n"/>
      <c r="C91" s="20" t="n"/>
      <c r="D91" s="25" t="n"/>
      <c r="E91" s="18" t="n"/>
      <c r="F91" s="28" t="n"/>
      <c r="G91" s="18" t="n"/>
      <c r="H91" s="20" t="n"/>
    </row>
    <row r="92">
      <c r="A92" s="18" t="n"/>
      <c r="B92" s="18" t="n"/>
      <c r="C92" s="20" t="n"/>
      <c r="D92" s="25" t="n"/>
      <c r="E92" s="18" t="n"/>
      <c r="F92" s="28" t="n"/>
      <c r="G92" s="18" t="n"/>
      <c r="H92" s="20" t="n"/>
    </row>
    <row r="93">
      <c r="A93" s="18" t="n"/>
      <c r="B93" s="18" t="n"/>
      <c r="C93" s="20" t="n"/>
      <c r="D93" s="25" t="n"/>
      <c r="E93" s="18" t="n"/>
      <c r="F93" s="28" t="n"/>
      <c r="G93" s="18" t="n"/>
      <c r="H93" s="20" t="n"/>
    </row>
    <row r="94">
      <c r="A94" s="18" t="n"/>
      <c r="B94" s="18" t="n"/>
      <c r="C94" s="20" t="n"/>
      <c r="D94" s="25" t="n"/>
      <c r="E94" s="18" t="n"/>
      <c r="F94" s="28" t="n"/>
      <c r="G94" s="18" t="n"/>
      <c r="H94" s="20" t="n"/>
    </row>
    <row r="95">
      <c r="A95" s="18" t="n"/>
      <c r="B95" s="18" t="n"/>
      <c r="C95" s="20" t="n"/>
      <c r="D95" s="25" t="n"/>
      <c r="E95" s="18" t="n"/>
      <c r="F95" s="28" t="n"/>
      <c r="G95" s="18" t="n"/>
      <c r="H95" s="20" t="n"/>
    </row>
    <row r="96">
      <c r="A96" s="18" t="n"/>
      <c r="B96" s="18" t="n"/>
      <c r="C96" s="20" t="n"/>
      <c r="D96" s="25" t="n"/>
      <c r="E96" s="18" t="n"/>
      <c r="F96" s="28" t="n"/>
      <c r="G96" s="18" t="n"/>
      <c r="H96" s="20" t="n"/>
    </row>
    <row r="97">
      <c r="A97" s="18" t="n"/>
      <c r="B97" s="18" t="n"/>
      <c r="C97" s="20" t="n"/>
      <c r="D97" s="25" t="n"/>
      <c r="E97" s="18" t="n"/>
      <c r="F97" s="28" t="n"/>
      <c r="G97" s="18" t="n"/>
      <c r="H97" s="20" t="n"/>
    </row>
    <row r="98">
      <c r="A98" s="18" t="n"/>
      <c r="B98" s="18" t="n"/>
      <c r="C98" s="20" t="n"/>
      <c r="D98" s="25" t="n"/>
      <c r="E98" s="18" t="n"/>
      <c r="F98" s="28" t="n"/>
      <c r="G98" s="18" t="n"/>
      <c r="H98" s="20" t="n"/>
    </row>
    <row r="99">
      <c r="A99" s="18" t="n"/>
      <c r="B99" s="18" t="n"/>
      <c r="C99" s="20" t="n"/>
      <c r="D99" s="25" t="n"/>
      <c r="E99" s="18" t="n"/>
      <c r="F99" s="28" t="n"/>
      <c r="G99" s="18" t="n"/>
      <c r="H99" s="20" t="n"/>
    </row>
    <row r="100">
      <c r="A100" s="18" t="n"/>
      <c r="B100" s="18" t="n"/>
      <c r="C100" s="20" t="n"/>
      <c r="D100" s="25" t="n"/>
      <c r="E100" s="18" t="n"/>
      <c r="F100" s="28" t="n"/>
      <c r="G100" s="18" t="n"/>
      <c r="H100" s="20" t="n"/>
    </row>
    <row r="101">
      <c r="A101" s="18" t="n"/>
      <c r="B101" s="18" t="n"/>
      <c r="C101" s="20" t="n"/>
      <c r="D101" s="25" t="n"/>
      <c r="E101" s="18" t="n"/>
      <c r="F101" s="28" t="n"/>
      <c r="G101" s="18" t="n"/>
      <c r="H101" s="20" t="n"/>
    </row>
    <row r="102">
      <c r="A102" s="18" t="n"/>
      <c r="B102" s="18" t="n"/>
      <c r="C102" s="20" t="n"/>
      <c r="D102" s="25" t="n"/>
      <c r="E102" s="18" t="n"/>
      <c r="F102" s="28" t="n"/>
      <c r="G102" s="18" t="n"/>
      <c r="H102" s="20" t="n"/>
    </row>
    <row r="103">
      <c r="A103" s="18" t="n"/>
      <c r="B103" s="18" t="n"/>
      <c r="C103" s="20" t="n"/>
      <c r="D103" s="25" t="n"/>
      <c r="E103" s="18" t="n"/>
      <c r="F103" s="28" t="n"/>
      <c r="G103" s="18" t="n"/>
      <c r="H103" s="20" t="n"/>
    </row>
    <row r="104">
      <c r="A104" s="18" t="n"/>
      <c r="B104" s="18" t="n"/>
      <c r="C104" s="20" t="n"/>
      <c r="D104" s="25" t="n"/>
      <c r="E104" s="18" t="n"/>
      <c r="F104" s="28" t="n"/>
      <c r="G104" s="18" t="n"/>
      <c r="H104" s="20" t="n"/>
    </row>
    <row r="105">
      <c r="A105" s="18" t="n"/>
      <c r="B105" s="18" t="n"/>
      <c r="C105" s="20" t="n"/>
      <c r="D105" s="25" t="n"/>
      <c r="E105" s="18" t="n"/>
      <c r="F105" s="28" t="n"/>
      <c r="G105" s="18" t="n"/>
      <c r="H105" s="20" t="n"/>
    </row>
  </sheetData>
  <mergeCells count="1">
    <mergeCell ref="A1:K1"/>
  </mergeCells>
  <conditionalFormatting sqref="G6:G105">
    <cfRule type="expression" priority="1" dxfId="2">
      <formula>$G6="No"</formula>
    </cfRule>
  </conditionalFormatting>
  <conditionalFormatting sqref="D6:D105">
    <cfRule type="expression" priority="2" dxfId="3">
      <formula>AND($A6&lt;&gt;"",$D6=0)</formula>
    </cfRule>
  </conditionalFormatting>
  <conditionalFormatting sqref="A6:A105">
    <cfRule type="expression" priority="3" dxfId="0">
      <formula>AND($A6&lt;&gt;"",COUNTIF($A$6:$A$105,$A6)&gt;1)</formula>
    </cfRule>
  </conditionalFormatting>
  <conditionalFormatting sqref="A6:H105">
    <cfRule type="expression" priority="4" dxfId="3">
      <formula>AND($A6&lt;&gt;"",$C6="")</formula>
    </cfRule>
  </conditionalFormatting>
  <conditionalFormatting sqref="J6:J25">
    <cfRule type="expression" priority="5" dxfId="0">
      <formula>AND($J6&lt;&gt;"",COUNTIF($J$6:$J$25,$J6)&gt;1)</formula>
    </cfRule>
  </conditionalFormatting>
  <dataValidations count="7">
    <dataValidation sqref="A6:A105" showDropDown="0" showInputMessage="0" showErrorMessage="1" allowBlank="0" errorTitle="Código duplicado" error="El código ya existe en el catálogo." type="custom">
      <formula1>OR(A6="",COUNTIF($A$6:$A$105,A6)=1)</formula1>
    </dataValidation>
    <dataValidation sqref="B6:B105" showDropDown="0" showInputMessage="0" showErrorMessage="0" allowBlank="0" type="list">
      <formula1>"Cámara,Óptica,Iluminación,Sonido,Energía,Soporte,Monitor,Datos,Accesorio,Otro"</formula1>
    </dataValidation>
    <dataValidation sqref="D6:D105" showDropDown="0" showInputMessage="0" showErrorMessage="1" allowBlank="0" error="El stock debe estar entre 0 y 100000." type="decimal" operator="between">
      <formula1>0</formula1>
      <formula2>100000</formula2>
    </dataValidation>
    <dataValidation sqref="E6:E105" showDropDown="0" showInputMessage="0" showErrorMessage="0" allowBlank="0" type="list">
      <formula1>"unidad,kit,juego,caja,rollo,metro"</formula1>
    </dataValidation>
    <dataValidation sqref="F6:F105" showDropDown="0" showInputMessage="0" showErrorMessage="1" allowBlank="0" error="El peso debe estar entre 0 y 10000 kg." type="decimal" operator="between">
      <formula1>0</formula1>
      <formula2>10000</formula2>
    </dataValidation>
    <dataValidation sqref="G6:G105" showDropDown="0" showInputMessage="0" showErrorMessage="0" allowBlank="0" type="list">
      <formula1>"Sí,No"</formula1>
    </dataValidation>
    <dataValidation sqref="J6:J25" showDropDown="0" showInputMessage="0" showErrorMessage="1" allowBlank="0" errorTitle="Código duplicado" error="El código de vehículo ya existe." type="custom">
      <formula1>OR(J6="",COUNTIF($J$6:$J$25,J6)=1)</formula1>
    </dataValidation>
  </dataValidations>
  <pageMargins left="0.25" right="0.25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75" customWidth="1" min="2" max="2"/>
    <col width="4" customWidth="1" min="3" max="3"/>
    <col width="14" customWidth="1" min="4" max="4"/>
    <col width="14" customWidth="1" min="5" max="5"/>
    <col width="14" customWidth="1" min="6" max="6"/>
  </cols>
  <sheetData>
    <row r="1" ht="30" customHeight="1">
      <c r="A1" s="1" t="inlineStr">
        <is>
          <t>Cómo utilizar la plantilla</t>
        </is>
      </c>
    </row>
    <row r="2"/>
    <row r="3" ht="24" customHeight="1">
      <c r="A3" s="29" t="inlineStr">
        <is>
          <t>Flujo de trabajo</t>
        </is>
      </c>
      <c r="B3" s="29" t="n"/>
      <c r="C3" s="29" t="n"/>
      <c r="D3" s="29" t="n"/>
      <c r="E3" s="29" t="n"/>
      <c r="F3" s="29" t="n"/>
    </row>
    <row r="4" ht="25" customHeight="1">
      <c r="A4" s="30" t="inlineStr">
        <is>
          <t>1. Revise o amplíe el catálogo de la hoja Recursos.</t>
        </is>
      </c>
    </row>
    <row r="5" ht="25" customHeight="1">
      <c r="A5" s="31" t="inlineStr">
        <is>
          <t>2. Cree un ID de expedición por cada viaje a una localización.</t>
        </is>
      </c>
    </row>
    <row r="6" ht="25" customHeight="1">
      <c r="A6" s="30" t="inlineStr">
        <is>
          <t>3. Utilice varias filas con el mismo ID para añadir diferentes materiales al mismo viaje.</t>
        </is>
      </c>
    </row>
    <row r="7" ht="25" customHeight="1">
      <c r="A7" s="31" t="inlineStr">
        <is>
          <t>4. Repita la fecha, los horarios, el vehículo y el responsable en todas las líneas de una expedición.</t>
        </is>
      </c>
    </row>
    <row r="8" ht="25" customHeight="1">
      <c r="A8" s="30" t="inlineStr">
        <is>
          <t>5. Introduzca cantidades entregadas y devueltas durante la operación.</t>
        </is>
      </c>
    </row>
    <row r="9" ht="25" customHeight="1">
      <c r="A9" s="31" t="inlineStr">
        <is>
          <t>6. Revise las columnas Alerta y Revisión antes de confirmar la salida.</t>
        </is>
      </c>
    </row>
    <row r="10" ht="25" customHeight="1">
      <c r="A10" s="30" t="inlineStr">
        <is>
          <t>7. Consulte Resumen para ver pendientes y alertas.</t>
        </is>
      </c>
    </row>
    <row r="11"/>
    <row r="12">
      <c r="A12" s="29" t="inlineStr">
        <is>
          <t>Criterios de alertas</t>
        </is>
      </c>
      <c r="B12" s="29" t="n"/>
      <c r="C12" s="29" t="n"/>
      <c r="D12" s="29" t="n"/>
      <c r="E12" s="29" t="n"/>
      <c r="F12" s="29" t="n"/>
    </row>
    <row r="13" ht="36" customHeight="1">
      <c r="A13" s="9" t="inlineStr">
        <is>
          <t>Alerta</t>
        </is>
      </c>
      <c r="B13" s="9" t="inlineStr">
        <is>
          <t>Significado</t>
        </is>
      </c>
    </row>
    <row r="14" ht="31" customHeight="1">
      <c r="A14" s="30" t="inlineStr">
        <is>
          <t>Falta recurso</t>
        </is>
      </c>
      <c r="B14" s="30" t="inlineStr">
        <is>
          <t>Hay una expedición sin código de material.</t>
        </is>
      </c>
    </row>
    <row r="15" ht="31" customHeight="1">
      <c r="A15" s="31" t="inlineStr">
        <is>
          <t>Recurso no activo</t>
        </is>
      </c>
      <c r="B15" s="31" t="inlineStr">
        <is>
          <t>El recurso no está disponible en el catálogo o el código no existe.</t>
        </is>
      </c>
    </row>
    <row r="16" ht="31" customHeight="1">
      <c r="A16" s="30" t="inlineStr">
        <is>
          <t>Faltan fecha u horarios</t>
        </is>
      </c>
      <c r="B16" s="30" t="inlineStr">
        <is>
          <t>No se puede comprobar el intervalo logístico.</t>
        </is>
      </c>
    </row>
    <row r="17" ht="31" customHeight="1">
      <c r="A17" s="31" t="inlineStr">
        <is>
          <t>Revisar secuencia horaria</t>
        </is>
      </c>
      <c r="B17" s="31" t="inlineStr">
        <is>
          <t>Las horas no siguen el orden carga, salida, entrega, recogida y retorno.</t>
        </is>
      </c>
    </row>
    <row r="18" ht="31" customHeight="1">
      <c r="A18" s="30" t="inlineStr">
        <is>
          <t>Stock insuficiente</t>
        </is>
      </c>
      <c r="B18" s="30" t="inlineStr">
        <is>
          <t>La cantidad concurrente supera el stock del catálogo.</t>
        </is>
      </c>
    </row>
    <row r="19" ht="31" customHeight="1">
      <c r="A19" s="31" t="inlineStr">
        <is>
          <t>Vehículo solapado</t>
        </is>
      </c>
      <c r="B19" s="31" t="inlineStr">
        <is>
          <t>Dos expediciones distintas usan el mismo vehículo en intervalos coincidentes.</t>
        </is>
      </c>
    </row>
    <row r="20" ht="31" customHeight="1">
      <c r="A20" s="30" t="inlineStr">
        <is>
          <t>Entrega fuera de ventana</t>
        </is>
      </c>
      <c r="B20" s="30" t="inlineStr">
        <is>
          <t>La hora real de entrega es posterior a la hora límite.</t>
        </is>
      </c>
    </row>
    <row r="21" ht="31" customHeight="1">
      <c r="A21" s="31" t="inlineStr">
        <is>
          <t>Devolución incompleta</t>
        </is>
      </c>
      <c r="B21" s="31" t="inlineStr">
        <is>
          <t>La cantidad devuelta es inferior a la entregada.</t>
        </is>
      </c>
    </row>
    <row r="22"/>
    <row r="23">
      <c r="A23" s="29" t="inlineStr">
        <is>
          <t>Notas de uso</t>
        </is>
      </c>
      <c r="B23" s="29" t="n"/>
      <c r="C23" s="29" t="n"/>
      <c r="D23" s="29" t="n"/>
      <c r="E23" s="29" t="n"/>
      <c r="F23" s="29" t="n"/>
    </row>
    <row r="24" ht="31" customHeight="1">
      <c r="A24" s="30" t="inlineStr">
        <is>
          <t>• Las alertas son controles operativos y requieren revisión humana.</t>
        </is>
      </c>
    </row>
    <row r="25" ht="31" customHeight="1">
      <c r="A25" s="31" t="inlineStr">
        <is>
          <t>• Una fila vacía no debe generar alertas.</t>
        </is>
      </c>
    </row>
    <row r="26" ht="31" customHeight="1">
      <c r="A26" s="30" t="inlineStr">
        <is>
          <t>• Para una salida sin vehículo interno, añada previamente una opción genérica como SIN-VEHÍCULO únicamente si el equipo decide tratarla como valor controlado.</t>
        </is>
      </c>
    </row>
    <row r="27" ht="31" customHeight="1">
      <c r="A27" s="31" t="inlineStr">
        <is>
          <t>• No introduzca documentos de identidad, domicilios particulares ni otros datos personales innecesarios.</t>
        </is>
      </c>
    </row>
    <row r="28" ht="31" customHeight="1">
      <c r="A28" s="30" t="inlineStr">
        <is>
          <t>• La plantilla no sustituye procedimientos internos, revisiones técnicas ni decisiones de seguridad.</t>
        </is>
      </c>
    </row>
  </sheetData>
  <mergeCells count="1">
    <mergeCell ref="A1:F1"/>
  </mergeCell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Estudio Creativo Ficticio</dc:creator>
  <dc:title xmlns:dc="http://purl.org/dc/elements/1.1/">Logística de equipo por localización</dc:title>
  <dc:description xmlns:dc="http://purl.org/dc/elements/1.1/">Plantilla ficticia para organizar movimientos de equipo por localización</dc:description>
  <dc:subject xmlns:dc="http://purl.org/dc/elements/1.1/">Control operativo de expediciones y recursos</dc:subject>
  <dcterms:created xmlns:dcterms="http://purl.org/dc/terms/" xmlns:xsi="http://www.w3.org/2001/XMLSchema-instance" xsi:type="dcterms:W3CDTF">2026-09-08T02:10:59Z</dcterms:created>
  <dcterms:modified xmlns:dcterms="http://purl.org/dc/terms/" xmlns:xsi="http://www.w3.org/2001/XMLSchema-instance" xsi:type="dcterms:W3CDTF">2026-09-08T02:11:01+00:00Z</dcterms:modified>
</cp:coreProperties>
</file>